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updateLinks="never" defaultThemeVersion="124226"/>
  <workbookProtection workbookPassword="A6C9" lockStructure="1"/>
  <bookViews>
    <workbookView xWindow="-4860" yWindow="615" windowWidth="23070" windowHeight="13215" tabRatio="886"/>
  </bookViews>
  <sheets>
    <sheet name="既存設備" sheetId="48" r:id="rId1"/>
    <sheet name="導入予定設備" sheetId="49" r:id="rId2"/>
    <sheet name="&lt;吸収式&gt;マスタ" sheetId="2" state="hidden" r:id="rId3"/>
  </sheets>
  <definedNames>
    <definedName name="_xlnm._FilterDatabase" localSheetId="2" hidden="1">'&lt;吸収式&gt;マスタ'!$AE$6:$AJ$103</definedName>
    <definedName name="_xlnm.Print_Area" localSheetId="2">'&lt;吸収式&gt;マスタ'!$B$2:$AQ$103</definedName>
    <definedName name="_xlnm.Print_Area" localSheetId="0">既存設備!$A$1:$AJ$65</definedName>
    <definedName name="_xlnm.Print_Area" localSheetId="1">導入予定設備!$A$1:$AJ$65</definedName>
    <definedName name="_xlnm.Print_Titles" localSheetId="0">既存設備!$3:$16</definedName>
    <definedName name="_xlnm.Print_Titles" localSheetId="1">導入予定設備!$5:$16</definedName>
  </definedNames>
  <calcPr calcId="145621"/>
</workbook>
</file>

<file path=xl/calcChain.xml><?xml version="1.0" encoding="utf-8"?>
<calcChain xmlns="http://schemas.openxmlformats.org/spreadsheetml/2006/main">
  <c r="T29" i="48" l="1"/>
  <c r="T28" i="48"/>
  <c r="T27" i="48"/>
  <c r="AN22" i="48" l="1"/>
  <c r="AJ151" i="2" l="1"/>
  <c r="AJ149" i="2"/>
  <c r="AJ147" i="2"/>
  <c r="AJ145" i="2"/>
  <c r="AJ143" i="2"/>
  <c r="AJ141" i="2"/>
  <c r="AJ139" i="2"/>
  <c r="AJ137" i="2"/>
  <c r="AJ135" i="2"/>
  <c r="AJ133" i="2"/>
  <c r="AJ131" i="2"/>
  <c r="AJ129" i="2"/>
  <c r="AJ127" i="2"/>
  <c r="AJ125" i="2"/>
  <c r="AJ123" i="2"/>
  <c r="AJ121" i="2"/>
  <c r="AJ119" i="2"/>
  <c r="AJ117" i="2"/>
  <c r="AJ115" i="2"/>
  <c r="AJ113" i="2"/>
  <c r="AJ111" i="2"/>
  <c r="AJ109" i="2"/>
  <c r="AJ107" i="2"/>
  <c r="AJ105" i="2"/>
  <c r="AJ150" i="2"/>
  <c r="AJ148" i="2"/>
  <c r="AJ146" i="2"/>
  <c r="AJ144" i="2"/>
  <c r="AJ142" i="2"/>
  <c r="AJ140" i="2"/>
  <c r="AJ138" i="2"/>
  <c r="AJ136" i="2"/>
  <c r="AJ134" i="2"/>
  <c r="AJ132" i="2"/>
  <c r="AJ130" i="2"/>
  <c r="AJ128" i="2"/>
  <c r="AJ126" i="2"/>
  <c r="AJ124" i="2"/>
  <c r="AJ122" i="2"/>
  <c r="AJ120" i="2"/>
  <c r="AJ118" i="2"/>
  <c r="AJ116" i="2"/>
  <c r="AJ114" i="2"/>
  <c r="AJ112" i="2"/>
  <c r="AJ110" i="2"/>
  <c r="AJ108" i="2"/>
  <c r="AJ106" i="2"/>
  <c r="AJ104" i="2"/>
  <c r="M35" i="48" l="1"/>
  <c r="M35" i="49"/>
  <c r="AP36" i="48" l="1"/>
  <c r="AP37" i="48"/>
  <c r="AP38" i="48"/>
  <c r="AP39" i="48"/>
  <c r="AP40" i="48"/>
  <c r="AP41" i="48"/>
  <c r="AP42" i="48"/>
  <c r="AP43" i="48"/>
  <c r="AP44" i="48"/>
  <c r="AP45" i="48"/>
  <c r="AP46" i="48"/>
  <c r="AP35" i="48"/>
  <c r="AP47" i="48" s="1"/>
  <c r="B65" i="48" s="1"/>
  <c r="B65" i="49" s="1"/>
  <c r="AO36" i="48"/>
  <c r="AO37" i="48"/>
  <c r="AO38" i="48"/>
  <c r="AO39" i="48"/>
  <c r="AO40" i="48"/>
  <c r="AO41" i="48"/>
  <c r="AO42" i="48"/>
  <c r="AO43" i="48"/>
  <c r="AO44" i="48"/>
  <c r="AO45" i="48"/>
  <c r="AO46" i="48"/>
  <c r="AO35" i="48"/>
  <c r="G35" i="48" l="1"/>
  <c r="G36" i="48" l="1"/>
  <c r="I26" i="49" l="1"/>
  <c r="I22" i="49"/>
  <c r="T29" i="49" l="1"/>
  <c r="T28" i="49"/>
  <c r="T27" i="49"/>
  <c r="G46" i="48"/>
  <c r="G45" i="48"/>
  <c r="G44" i="48"/>
  <c r="G43" i="48"/>
  <c r="G42" i="48"/>
  <c r="G41" i="48"/>
  <c r="G40" i="48"/>
  <c r="G39" i="48"/>
  <c r="G38" i="48"/>
  <c r="G37" i="48"/>
  <c r="AI108" i="2"/>
  <c r="AI109" i="2"/>
  <c r="AI110" i="2"/>
  <c r="AI111" i="2"/>
  <c r="AI112" i="2"/>
  <c r="AI113" i="2"/>
  <c r="AI114" i="2"/>
  <c r="AI115" i="2"/>
  <c r="AI116" i="2"/>
  <c r="AI117" i="2"/>
  <c r="AI118" i="2"/>
  <c r="AI119" i="2"/>
  <c r="AI120" i="2"/>
  <c r="AI121" i="2"/>
  <c r="AI122" i="2"/>
  <c r="AI123" i="2"/>
  <c r="AI124" i="2"/>
  <c r="AI125" i="2"/>
  <c r="AI126" i="2"/>
  <c r="AI127" i="2"/>
  <c r="AI128" i="2"/>
  <c r="AI129" i="2"/>
  <c r="AI130" i="2"/>
  <c r="AI131" i="2"/>
  <c r="AI132" i="2"/>
  <c r="AI133" i="2"/>
  <c r="AI134" i="2"/>
  <c r="AI135" i="2"/>
  <c r="AI136" i="2"/>
  <c r="AI137" i="2"/>
  <c r="AI138" i="2"/>
  <c r="AI139" i="2"/>
  <c r="AI140" i="2"/>
  <c r="AI141" i="2"/>
  <c r="AI142" i="2"/>
  <c r="AI143" i="2"/>
  <c r="AI144" i="2"/>
  <c r="AI145" i="2"/>
  <c r="AI146" i="2"/>
  <c r="AI147" i="2"/>
  <c r="AI148" i="2"/>
  <c r="AI149" i="2"/>
  <c r="AI150" i="2"/>
  <c r="AI151" i="2"/>
  <c r="AI107" i="2"/>
  <c r="AI106" i="2"/>
  <c r="AI105" i="2"/>
  <c r="AI104" i="2"/>
  <c r="G39" i="49" l="1"/>
  <c r="G43" i="49"/>
  <c r="G36" i="49"/>
  <c r="G40" i="49"/>
  <c r="G44" i="49"/>
  <c r="G37" i="49"/>
  <c r="G41" i="49"/>
  <c r="G45" i="49"/>
  <c r="G38" i="49"/>
  <c r="G42" i="49"/>
  <c r="G46" i="49"/>
  <c r="G35" i="49"/>
  <c r="AP28" i="49"/>
  <c r="AN28" i="48"/>
  <c r="G52" i="49" l="1"/>
  <c r="G62" i="49"/>
  <c r="G57" i="49"/>
  <c r="G58" i="49"/>
  <c r="G53" i="49"/>
  <c r="G63" i="49"/>
  <c r="G54" i="49"/>
  <c r="G60" i="49"/>
  <c r="G59" i="49"/>
  <c r="G55" i="49"/>
  <c r="G61" i="49"/>
  <c r="G56" i="49"/>
  <c r="T47" i="49"/>
  <c r="J35" i="49"/>
  <c r="AN35" i="49"/>
  <c r="AL46" i="49"/>
  <c r="AK46" i="49"/>
  <c r="AL28" i="49"/>
  <c r="AN28" i="49" s="1"/>
  <c r="AM35" i="48" l="1"/>
  <c r="T62" i="48"/>
  <c r="AN51" i="48"/>
  <c r="AM51" i="48"/>
  <c r="AM36" i="48"/>
  <c r="AM46" i="48"/>
  <c r="AN27" i="48"/>
  <c r="AN29" i="48" s="1"/>
  <c r="AN16" i="48"/>
  <c r="M36" i="48" l="1"/>
  <c r="M36" i="49" l="1"/>
  <c r="AN17" i="48"/>
  <c r="AL19" i="49" l="1"/>
  <c r="AN20" i="48" l="1"/>
  <c r="T63" i="49" l="1"/>
  <c r="J63" i="49"/>
  <c r="T62" i="49"/>
  <c r="J62" i="49"/>
  <c r="T61" i="49"/>
  <c r="T60" i="49"/>
  <c r="T59" i="49"/>
  <c r="T58" i="49"/>
  <c r="T57" i="49"/>
  <c r="T56" i="49"/>
  <c r="T55" i="49"/>
  <c r="J55" i="49"/>
  <c r="T54" i="49"/>
  <c r="J54" i="49"/>
  <c r="T53" i="49"/>
  <c r="J53" i="49"/>
  <c r="T52" i="49"/>
  <c r="J52" i="49"/>
  <c r="AM35" i="49"/>
  <c r="J46" i="49"/>
  <c r="AL45" i="49"/>
  <c r="AK45" i="49"/>
  <c r="J45" i="49"/>
  <c r="AL44" i="49"/>
  <c r="AK44" i="49"/>
  <c r="J44" i="49"/>
  <c r="AL43" i="49"/>
  <c r="AK43" i="49"/>
  <c r="J43" i="49"/>
  <c r="AL42" i="49"/>
  <c r="AK42" i="49"/>
  <c r="J42" i="49"/>
  <c r="AL41" i="49"/>
  <c r="AK41" i="49"/>
  <c r="J41" i="49"/>
  <c r="AL40" i="49"/>
  <c r="AK40" i="49"/>
  <c r="J40" i="49"/>
  <c r="AL39" i="49"/>
  <c r="AK39" i="49"/>
  <c r="J39" i="49"/>
  <c r="AL38" i="49"/>
  <c r="AK38" i="49"/>
  <c r="J38" i="49"/>
  <c r="AL37" i="49"/>
  <c r="AK37" i="49"/>
  <c r="J37" i="49"/>
  <c r="AL36" i="49"/>
  <c r="AK36" i="49"/>
  <c r="J36" i="49"/>
  <c r="AL35" i="49"/>
  <c r="AK35" i="49"/>
  <c r="J61" i="49"/>
  <c r="W61" i="49" s="1"/>
  <c r="T63" i="48"/>
  <c r="G63" i="48"/>
  <c r="J63" i="48" s="1"/>
  <c r="W63" i="48" s="1"/>
  <c r="G62" i="48"/>
  <c r="T61" i="48"/>
  <c r="G61" i="48"/>
  <c r="T60" i="48"/>
  <c r="G60" i="48"/>
  <c r="J60" i="48" s="1"/>
  <c r="W60" i="48" s="1"/>
  <c r="T59" i="48"/>
  <c r="G59" i="48"/>
  <c r="T58" i="48"/>
  <c r="G58" i="48"/>
  <c r="T57" i="48"/>
  <c r="G57" i="48"/>
  <c r="T56" i="48"/>
  <c r="G56" i="48"/>
  <c r="J56" i="48" s="1"/>
  <c r="T55" i="48"/>
  <c r="G55" i="48"/>
  <c r="J55" i="48" s="1"/>
  <c r="W55" i="48" s="1"/>
  <c r="T54" i="48"/>
  <c r="G54" i="48"/>
  <c r="J54" i="48" s="1"/>
  <c r="W54" i="48" s="1"/>
  <c r="T53" i="48"/>
  <c r="G53" i="48"/>
  <c r="J53" i="48" s="1"/>
  <c r="W53" i="48" s="1"/>
  <c r="T52" i="48"/>
  <c r="T64" i="48" s="1"/>
  <c r="G52" i="48"/>
  <c r="J52" i="48" s="1"/>
  <c r="W52" i="48" s="1"/>
  <c r="T47" i="48"/>
  <c r="AN46" i="48"/>
  <c r="M46" i="48" s="1"/>
  <c r="AN45" i="48"/>
  <c r="AM45" i="48"/>
  <c r="AN44" i="48"/>
  <c r="AM44" i="48"/>
  <c r="AN43" i="48"/>
  <c r="AM43" i="48"/>
  <c r="AN42" i="48"/>
  <c r="AM42" i="48"/>
  <c r="AN41" i="48"/>
  <c r="AM41" i="48"/>
  <c r="M41" i="48" s="1"/>
  <c r="AN40" i="48"/>
  <c r="AM40" i="48"/>
  <c r="M40" i="48" s="1"/>
  <c r="AN39" i="48"/>
  <c r="AM39" i="48"/>
  <c r="M39" i="48" s="1"/>
  <c r="AN38" i="48"/>
  <c r="AM38" i="48"/>
  <c r="M38" i="48" s="1"/>
  <c r="AN37" i="48"/>
  <c r="AM37" i="48"/>
  <c r="M37" i="48" s="1"/>
  <c r="AN36" i="48"/>
  <c r="AN35" i="48"/>
  <c r="R33" i="2"/>
  <c r="R32" i="2"/>
  <c r="R31" i="2"/>
  <c r="R15" i="2"/>
  <c r="R14" i="2"/>
  <c r="R13" i="2"/>
  <c r="R36" i="2"/>
  <c r="R35" i="2"/>
  <c r="R34" i="2"/>
  <c r="R18" i="2"/>
  <c r="R17" i="2"/>
  <c r="R16" i="2"/>
  <c r="W53" i="49" l="1"/>
  <c r="W55" i="49"/>
  <c r="W62" i="49"/>
  <c r="M39" i="49"/>
  <c r="M37" i="49"/>
  <c r="M41" i="49"/>
  <c r="M38" i="49"/>
  <c r="M40" i="49"/>
  <c r="M46" i="49"/>
  <c r="M43" i="48"/>
  <c r="M45" i="48"/>
  <c r="AO21" i="2" s="1"/>
  <c r="M42" i="48"/>
  <c r="M44" i="48"/>
  <c r="AP137" i="2"/>
  <c r="AO79" i="2"/>
  <c r="AO139" i="2"/>
  <c r="AP139" i="2" s="1"/>
  <c r="AO76" i="2"/>
  <c r="AP136" i="2"/>
  <c r="AO77" i="2"/>
  <c r="AO78" i="2"/>
  <c r="AP133" i="2"/>
  <c r="AO71" i="2"/>
  <c r="AO135" i="2"/>
  <c r="AP135" i="2" s="1"/>
  <c r="AO68" i="2"/>
  <c r="AP132" i="2"/>
  <c r="AO69" i="2"/>
  <c r="AO70" i="2"/>
  <c r="AP141" i="2"/>
  <c r="AO86" i="2"/>
  <c r="AO84" i="2"/>
  <c r="AP140" i="2"/>
  <c r="AO85" i="2"/>
  <c r="AO87" i="2"/>
  <c r="AO23" i="2"/>
  <c r="AO20" i="2"/>
  <c r="AP108" i="2"/>
  <c r="AP145" i="2"/>
  <c r="AO94" i="2"/>
  <c r="AO95" i="2"/>
  <c r="AO92" i="2"/>
  <c r="AP144" i="2"/>
  <c r="AO93" i="2"/>
  <c r="AP113" i="2"/>
  <c r="AO30" i="2"/>
  <c r="AO31" i="2"/>
  <c r="AO28" i="2"/>
  <c r="AP112" i="2"/>
  <c r="AO29" i="2"/>
  <c r="AP117" i="2"/>
  <c r="AO39" i="2"/>
  <c r="AO36" i="2"/>
  <c r="AP116" i="2"/>
  <c r="AO37" i="2"/>
  <c r="AO38" i="2"/>
  <c r="AP121" i="2"/>
  <c r="AO47" i="2"/>
  <c r="AO44" i="2"/>
  <c r="AP120" i="2"/>
  <c r="AO45" i="2"/>
  <c r="AO46" i="2"/>
  <c r="W56" i="48"/>
  <c r="J62" i="48"/>
  <c r="W62" i="48" s="1"/>
  <c r="W52" i="49"/>
  <c r="W54" i="49"/>
  <c r="W63" i="49"/>
  <c r="T64" i="49"/>
  <c r="J58" i="48"/>
  <c r="W58" i="48" s="1"/>
  <c r="J59" i="48"/>
  <c r="W59" i="48" s="1"/>
  <c r="J61" i="48"/>
  <c r="W61" i="48" s="1"/>
  <c r="J57" i="48"/>
  <c r="W57" i="48" s="1"/>
  <c r="J56" i="49"/>
  <c r="W56" i="49" s="1"/>
  <c r="J57" i="49"/>
  <c r="W57" i="49" s="1"/>
  <c r="J58" i="49"/>
  <c r="W58" i="49" s="1"/>
  <c r="J59" i="49"/>
  <c r="W59" i="49" s="1"/>
  <c r="J60" i="49"/>
  <c r="W60" i="49" s="1"/>
  <c r="AO22" i="2" l="1"/>
  <c r="AO111" i="2"/>
  <c r="AP111" i="2" s="1"/>
  <c r="AP109" i="2"/>
  <c r="M43" i="49"/>
  <c r="M44" i="49"/>
  <c r="M42" i="49"/>
  <c r="M45" i="49"/>
  <c r="AP125" i="2"/>
  <c r="AO55" i="2"/>
  <c r="AO52" i="2"/>
  <c r="AP124" i="2"/>
  <c r="AO53" i="2"/>
  <c r="AO54" i="2"/>
  <c r="AP123" i="2"/>
  <c r="AO123" i="2"/>
  <c r="AP129" i="2"/>
  <c r="AO63" i="2"/>
  <c r="AO131" i="2"/>
  <c r="AP131" i="2" s="1"/>
  <c r="AO60" i="2"/>
  <c r="AP128" i="2"/>
  <c r="AO61" i="2"/>
  <c r="AO62" i="2"/>
  <c r="AO114" i="2"/>
  <c r="AP114" i="2"/>
  <c r="AP146" i="2"/>
  <c r="AO146" i="2"/>
  <c r="AO110" i="2"/>
  <c r="AP110" i="2" s="1"/>
  <c r="AO122" i="2"/>
  <c r="AP122" i="2"/>
  <c r="AO118" i="2"/>
  <c r="AP118" i="2"/>
  <c r="AP115" i="2"/>
  <c r="AO115" i="2"/>
  <c r="AP142" i="2"/>
  <c r="AO142" i="2"/>
  <c r="AO134" i="2"/>
  <c r="AP134" i="2" s="1"/>
  <c r="AO138" i="2"/>
  <c r="AP138" i="2" s="1"/>
  <c r="AP119" i="2"/>
  <c r="AO119" i="2"/>
  <c r="AP147" i="2"/>
  <c r="AO147" i="2"/>
  <c r="AP105" i="2"/>
  <c r="AO15" i="2"/>
  <c r="AO12" i="2"/>
  <c r="AP9" i="2"/>
  <c r="AP8" i="2"/>
  <c r="AO107" i="2"/>
  <c r="AP107" i="2" s="1"/>
  <c r="AP104" i="2"/>
  <c r="AO14" i="2"/>
  <c r="AO13" i="2"/>
  <c r="AP149" i="2"/>
  <c r="AO102" i="2"/>
  <c r="AO103" i="2"/>
  <c r="AO100" i="2"/>
  <c r="AP148" i="2"/>
  <c r="AO101" i="2"/>
  <c r="AP143" i="2"/>
  <c r="AO143" i="2"/>
  <c r="W64" i="49"/>
  <c r="W64" i="48"/>
  <c r="AP150" i="2" l="1"/>
  <c r="AO150" i="2"/>
  <c r="AO126" i="2"/>
  <c r="AP126" i="2"/>
  <c r="AP127" i="2"/>
  <c r="AO127" i="2"/>
  <c r="AP151" i="2"/>
  <c r="AO151" i="2"/>
  <c r="AO106" i="2"/>
  <c r="AP106" i="2" s="1"/>
  <c r="AO130" i="2"/>
  <c r="AP130" i="2" s="1"/>
  <c r="R28" i="2"/>
  <c r="R29" i="2"/>
  <c r="R30" i="2"/>
  <c r="R37" i="2"/>
  <c r="R38" i="2"/>
  <c r="R39" i="2"/>
  <c r="R27" i="2"/>
  <c r="R26" i="2"/>
  <c r="R25" i="2"/>
  <c r="R24" i="2"/>
  <c r="R23" i="2"/>
  <c r="R22" i="2"/>
  <c r="R12" i="2"/>
  <c r="R11" i="2"/>
  <c r="R10" i="2"/>
  <c r="R9" i="2"/>
  <c r="R8" i="2"/>
  <c r="R7" i="2"/>
  <c r="AN18" i="48" l="1"/>
  <c r="AO16" i="48" s="1"/>
  <c r="J41" i="48" l="1"/>
  <c r="J39" i="48"/>
  <c r="J40" i="48"/>
  <c r="AI32" i="2" l="1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28" i="2"/>
  <c r="AI29" i="2"/>
  <c r="AI30" i="2"/>
  <c r="AI31" i="2"/>
  <c r="AI20" i="2"/>
  <c r="AI21" i="2"/>
  <c r="AI22" i="2"/>
  <c r="AI23" i="2"/>
  <c r="AI15" i="2"/>
  <c r="AI14" i="2"/>
  <c r="AI13" i="2"/>
  <c r="AI12" i="2"/>
  <c r="R21" i="2"/>
  <c r="R20" i="2"/>
  <c r="AP72" i="2" l="1"/>
  <c r="AP64" i="2"/>
  <c r="AP96" i="2"/>
  <c r="Q43" i="48" s="1"/>
  <c r="AP32" i="2"/>
  <c r="AP56" i="2"/>
  <c r="AP88" i="2"/>
  <c r="Q42" i="48" s="1"/>
  <c r="AP24" i="2"/>
  <c r="Q46" i="48" s="1"/>
  <c r="AP80" i="2"/>
  <c r="AP48" i="2"/>
  <c r="AP16" i="2"/>
  <c r="AP40" i="2"/>
  <c r="AP35" i="2"/>
  <c r="AP43" i="2"/>
  <c r="AP51" i="2"/>
  <c r="AP59" i="2"/>
  <c r="AP67" i="2"/>
  <c r="AP75" i="2"/>
  <c r="AP83" i="2"/>
  <c r="AP91" i="2"/>
  <c r="AP99" i="2"/>
  <c r="AP34" i="2"/>
  <c r="AP42" i="2"/>
  <c r="AP50" i="2"/>
  <c r="AP58" i="2"/>
  <c r="AP66" i="2"/>
  <c r="AP74" i="2"/>
  <c r="AP82" i="2"/>
  <c r="AP90" i="2"/>
  <c r="AP98" i="2"/>
  <c r="AP33" i="2"/>
  <c r="AP41" i="2"/>
  <c r="AP49" i="2"/>
  <c r="AP57" i="2"/>
  <c r="AP65" i="2"/>
  <c r="AP73" i="2"/>
  <c r="AP81" i="2"/>
  <c r="AP89" i="2"/>
  <c r="AP97" i="2"/>
  <c r="Q43" i="49" s="1"/>
  <c r="AP11" i="2"/>
  <c r="Q44" i="49" s="1"/>
  <c r="AP19" i="2"/>
  <c r="AP27" i="2"/>
  <c r="AP10" i="2"/>
  <c r="Q44" i="48" s="1"/>
  <c r="AP18" i="2"/>
  <c r="AP26" i="2"/>
  <c r="AP17" i="2"/>
  <c r="AP25" i="2"/>
  <c r="Q46" i="49" s="1"/>
  <c r="Q45" i="48" l="1"/>
  <c r="Q45" i="49"/>
  <c r="Q42" i="49"/>
  <c r="AP12" i="2"/>
  <c r="AP92" i="2"/>
  <c r="AP60" i="2"/>
  <c r="AP31" i="2"/>
  <c r="AP30" i="2"/>
  <c r="AP29" i="2"/>
  <c r="AP95" i="2"/>
  <c r="AP79" i="2"/>
  <c r="AP63" i="2"/>
  <c r="AP47" i="2"/>
  <c r="AP15" i="2"/>
  <c r="AP52" i="2"/>
  <c r="AP77" i="2"/>
  <c r="Q40" i="49" s="1"/>
  <c r="AP61" i="2"/>
  <c r="Q38" i="49" s="1"/>
  <c r="AP94" i="2"/>
  <c r="AP62" i="2"/>
  <c r="AP46" i="2"/>
  <c r="AP84" i="2"/>
  <c r="AP21" i="2"/>
  <c r="AP22" i="2"/>
  <c r="AP103" i="2"/>
  <c r="AP87" i="2"/>
  <c r="AP71" i="2"/>
  <c r="AP55" i="2"/>
  <c r="AP39" i="2"/>
  <c r="AP20" i="2"/>
  <c r="AP93" i="2"/>
  <c r="AP45" i="2"/>
  <c r="Q36" i="49" s="1"/>
  <c r="AP78" i="2"/>
  <c r="AP13" i="2"/>
  <c r="AP23" i="2"/>
  <c r="AP76" i="2"/>
  <c r="Q40" i="48" s="1"/>
  <c r="AP44" i="2"/>
  <c r="Q36" i="48" s="1"/>
  <c r="AP14" i="2"/>
  <c r="AP100" i="2"/>
  <c r="AP68" i="2"/>
  <c r="Q39" i="48" s="1"/>
  <c r="AP36" i="2"/>
  <c r="Q35" i="48" s="1"/>
  <c r="AP101" i="2"/>
  <c r="AP85" i="2"/>
  <c r="AP69" i="2"/>
  <c r="Q39" i="49" s="1"/>
  <c r="AP53" i="2"/>
  <c r="Q37" i="49" s="1"/>
  <c r="AP37" i="2"/>
  <c r="Q35" i="49" s="1"/>
  <c r="AP102" i="2"/>
  <c r="AP86" i="2"/>
  <c r="AP70" i="2"/>
  <c r="AP54" i="2"/>
  <c r="AP38" i="2"/>
  <c r="AP28" i="2"/>
  <c r="R19" i="2"/>
  <c r="Q37" i="48" l="1"/>
  <c r="Q41" i="49"/>
  <c r="Q38" i="48"/>
  <c r="Q41" i="48"/>
  <c r="AO18" i="48"/>
  <c r="AO17" i="48" s="1"/>
  <c r="J35" i="48" l="1"/>
  <c r="J42" i="48"/>
  <c r="J44" i="48"/>
  <c r="J43" i="48"/>
  <c r="J36" i="48"/>
  <c r="J38" i="48"/>
  <c r="J45" i="48"/>
  <c r="J46" i="48"/>
  <c r="J37" i="48"/>
  <c r="AI24" i="2"/>
  <c r="AI25" i="2"/>
  <c r="AI26" i="2"/>
  <c r="AI27" i="2"/>
  <c r="AI8" i="2"/>
  <c r="AI9" i="2"/>
  <c r="AI10" i="2"/>
  <c r="AI11" i="2"/>
  <c r="AI16" i="2"/>
  <c r="AI17" i="2"/>
  <c r="AI18" i="2"/>
  <c r="AI19" i="2"/>
  <c r="AP46" i="49" l="1"/>
  <c r="W46" i="49" s="1"/>
  <c r="AQ46" i="48"/>
  <c r="W46" i="48" s="1"/>
  <c r="AP36" i="49"/>
  <c r="W36" i="49" s="1"/>
  <c r="AQ36" i="48"/>
  <c r="W36" i="48" s="1"/>
  <c r="AQ41" i="48" l="1"/>
  <c r="W41" i="48" s="1"/>
  <c r="AP43" i="49"/>
  <c r="W43" i="49" s="1"/>
  <c r="AP38" i="49"/>
  <c r="W38" i="49" s="1"/>
  <c r="AP42" i="49"/>
  <c r="W42" i="49" s="1"/>
  <c r="AQ42" i="48"/>
  <c r="W42" i="48" s="1"/>
  <c r="AP41" i="49"/>
  <c r="W41" i="49" s="1"/>
  <c r="AP45" i="49"/>
  <c r="W45" i="49" s="1"/>
  <c r="AQ38" i="48"/>
  <c r="W38" i="48" s="1"/>
  <c r="AQ39" i="48"/>
  <c r="W39" i="48" s="1"/>
  <c r="AQ43" i="48"/>
  <c r="W43" i="48" s="1"/>
  <c r="AQ35" i="48"/>
  <c r="W35" i="48" s="1"/>
  <c r="AP40" i="49"/>
  <c r="W40" i="49" s="1"/>
  <c r="AP44" i="49"/>
  <c r="W44" i="49" s="1"/>
  <c r="AP35" i="49"/>
  <c r="W35" i="49" s="1"/>
  <c r="AQ45" i="48"/>
  <c r="W45" i="48" s="1"/>
  <c r="AQ40" i="48"/>
  <c r="W40" i="48" s="1"/>
  <c r="AQ44" i="48"/>
  <c r="W44" i="48" s="1"/>
  <c r="AP37" i="49"/>
  <c r="W37" i="49" s="1"/>
  <c r="AP39" i="49"/>
  <c r="W39" i="49" s="1"/>
  <c r="AQ37" i="48"/>
  <c r="W37" i="48" s="1"/>
  <c r="W47" i="48" l="1"/>
  <c r="W47" i="49"/>
</calcChain>
</file>

<file path=xl/sharedStrings.xml><?xml version="1.0" encoding="utf-8"?>
<sst xmlns="http://schemas.openxmlformats.org/spreadsheetml/2006/main" count="927" uniqueCount="237">
  <si>
    <t>冷房</t>
    <rPh sb="0" eb="2">
      <t>レイボウ</t>
    </rPh>
    <phoneticPr fontId="1"/>
  </si>
  <si>
    <t>暖房</t>
    <rPh sb="0" eb="2">
      <t>ダンボウ</t>
    </rPh>
    <phoneticPr fontId="1"/>
  </si>
  <si>
    <t>冷房</t>
    <rPh sb="0" eb="2">
      <t>レイボウ</t>
    </rPh>
    <phoneticPr fontId="6"/>
  </si>
  <si>
    <t>◆建物用途</t>
    <rPh sb="1" eb="3">
      <t>タテモノ</t>
    </rPh>
    <rPh sb="3" eb="5">
      <t>ヨウト</t>
    </rPh>
    <phoneticPr fontId="1"/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</si>
  <si>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</si>
  <si>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</si>
  <si>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</si>
  <si>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</si>
  <si>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建物用途</t>
    <rPh sb="0" eb="2">
      <t>タテモノ</t>
    </rPh>
    <rPh sb="2" eb="4">
      <t>ヨウト</t>
    </rPh>
    <phoneticPr fontId="2"/>
  </si>
  <si>
    <t>冷房</t>
    <rPh sb="0" eb="2">
      <t>レイボウ</t>
    </rPh>
    <phoneticPr fontId="1"/>
  </si>
  <si>
    <t>暖房</t>
    <rPh sb="0" eb="2">
      <t>ダンボウ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</si>
  <si>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2"/>
  </si>
  <si>
    <t>◆燃料種別</t>
    <rPh sb="1" eb="3">
      <t>ネンリョウ</t>
    </rPh>
    <rPh sb="3" eb="5">
      <t>シュベツ</t>
    </rPh>
    <phoneticPr fontId="1"/>
  </si>
  <si>
    <t>月</t>
    <rPh sb="0" eb="1">
      <t>ツキ</t>
    </rPh>
    <phoneticPr fontId="1"/>
  </si>
  <si>
    <t>運転種別</t>
    <rPh sb="0" eb="2">
      <t>ウンテン</t>
    </rPh>
    <rPh sb="2" eb="4">
      <t>シュベツ</t>
    </rPh>
    <phoneticPr fontId="1"/>
  </si>
  <si>
    <t>月</t>
    <rPh sb="0" eb="1">
      <t>ツキ</t>
    </rPh>
    <phoneticPr fontId="1"/>
  </si>
  <si>
    <t>検索用</t>
    <rPh sb="0" eb="3">
      <t>ケンサクヨウ</t>
    </rPh>
    <phoneticPr fontId="1"/>
  </si>
  <si>
    <t>1店舗</t>
  </si>
  <si>
    <t>2店舗</t>
  </si>
  <si>
    <t>2事務所</t>
  </si>
  <si>
    <t>3店舗</t>
  </si>
  <si>
    <t>3事務所</t>
  </si>
  <si>
    <t>4店舗</t>
  </si>
  <si>
    <t>4事務所</t>
  </si>
  <si>
    <t>5店舗</t>
  </si>
  <si>
    <t>5事務所</t>
  </si>
  <si>
    <t>6店舗</t>
  </si>
  <si>
    <t>6事務所</t>
  </si>
  <si>
    <t>7店舗</t>
  </si>
  <si>
    <t>7事務所</t>
  </si>
  <si>
    <t>8店舗</t>
  </si>
  <si>
    <t>8事務所</t>
  </si>
  <si>
    <t>9店舗</t>
  </si>
  <si>
    <t>9事務所</t>
  </si>
  <si>
    <t>10店舗</t>
  </si>
  <si>
    <t>10事務所</t>
  </si>
  <si>
    <t>11店舗</t>
  </si>
  <si>
    <t>11事務所</t>
  </si>
  <si>
    <t>12店舗</t>
  </si>
  <si>
    <t>12事務所</t>
  </si>
  <si>
    <t>1事務所</t>
    <phoneticPr fontId="1"/>
  </si>
  <si>
    <t>負荷率</t>
    <rPh sb="0" eb="2">
      <t>フカ</t>
    </rPh>
    <rPh sb="2" eb="3">
      <t>リツ</t>
    </rPh>
    <phoneticPr fontId="1"/>
  </si>
  <si>
    <t>負荷率50%以上</t>
    <rPh sb="0" eb="2">
      <t>フカ</t>
    </rPh>
    <rPh sb="2" eb="3">
      <t>リツ</t>
    </rPh>
    <rPh sb="6" eb="8">
      <t>イジョウ</t>
    </rPh>
    <phoneticPr fontId="1"/>
  </si>
  <si>
    <t>傾き</t>
    <rPh sb="0" eb="1">
      <t>カタム</t>
    </rPh>
    <phoneticPr fontId="1"/>
  </si>
  <si>
    <t>切片</t>
    <rPh sb="0" eb="2">
      <t>セッペン</t>
    </rPh>
    <phoneticPr fontId="1"/>
  </si>
  <si>
    <t>負荷率30％未満</t>
    <rPh sb="0" eb="2">
      <t>フカ</t>
    </rPh>
    <rPh sb="2" eb="3">
      <t>リツ</t>
    </rPh>
    <rPh sb="6" eb="8">
      <t>ミマン</t>
    </rPh>
    <phoneticPr fontId="1"/>
  </si>
  <si>
    <t>冷房/暖房</t>
    <rPh sb="0" eb="2">
      <t>レイボウ</t>
    </rPh>
    <rPh sb="3" eb="5">
      <t>ダンボウ</t>
    </rPh>
    <phoneticPr fontId="1"/>
  </si>
  <si>
    <t>暖房</t>
    <rPh sb="0" eb="2">
      <t>ダンボウ</t>
    </rPh>
    <phoneticPr fontId="1"/>
  </si>
  <si>
    <t>吸収式冷凍機　計算マスタ</t>
    <rPh sb="0" eb="2">
      <t>キュウシュウ</t>
    </rPh>
    <rPh sb="2" eb="3">
      <t>シキ</t>
    </rPh>
    <rPh sb="3" eb="6">
      <t>レイトウキ</t>
    </rPh>
    <rPh sb="7" eb="9">
      <t>ケイサン</t>
    </rPh>
    <phoneticPr fontId="1"/>
  </si>
  <si>
    <t>負荷率30以上50％未満</t>
    <rPh sb="0" eb="2">
      <t>フカ</t>
    </rPh>
    <rPh sb="2" eb="3">
      <t>リツ</t>
    </rPh>
    <rPh sb="5" eb="7">
      <t>イジョウ</t>
    </rPh>
    <rPh sb="10" eb="12">
      <t>ミマン</t>
    </rPh>
    <phoneticPr fontId="1"/>
  </si>
  <si>
    <t>■設備情報</t>
    <rPh sb="1" eb="3">
      <t>セツビ</t>
    </rPh>
    <rPh sb="3" eb="5">
      <t>ジョウホウ</t>
    </rPh>
    <phoneticPr fontId="6"/>
  </si>
  <si>
    <t>○○株式会社</t>
    <phoneticPr fontId="1"/>
  </si>
  <si>
    <t>製品名</t>
    <rPh sb="0" eb="3">
      <t>セイヒンメイ</t>
    </rPh>
    <phoneticPr fontId="6"/>
  </si>
  <si>
    <t>kW</t>
  </si>
  <si>
    <t>建物用途</t>
    <rPh sb="0" eb="2">
      <t>タテモノ</t>
    </rPh>
    <rPh sb="2" eb="4">
      <t>ヨウト</t>
    </rPh>
    <phoneticPr fontId="6"/>
  </si>
  <si>
    <t>13A（12A含む）</t>
    <rPh sb="7" eb="8">
      <t>フク</t>
    </rPh>
    <phoneticPr fontId="1"/>
  </si>
  <si>
    <t>月</t>
    <rPh sb="0" eb="1">
      <t>ツキ</t>
    </rPh>
    <phoneticPr fontId="6"/>
  </si>
  <si>
    <t>エネルギー
使用量</t>
    <rPh sb="6" eb="8">
      <t>シヨウ</t>
    </rPh>
    <rPh sb="8" eb="9">
      <t>リョウ</t>
    </rPh>
    <phoneticPr fontId="6"/>
  </si>
  <si>
    <t>合計</t>
    <rPh sb="0" eb="2">
      <t>ゴウケイ</t>
    </rPh>
    <phoneticPr fontId="6"/>
  </si>
  <si>
    <t>古い吸収冷温水機</t>
    <rPh sb="0" eb="1">
      <t>フル</t>
    </rPh>
    <rPh sb="2" eb="4">
      <t>キュウシュウ</t>
    </rPh>
    <rPh sb="4" eb="7">
      <t>レイオンスイ</t>
    </rPh>
    <rPh sb="7" eb="8">
      <t>キ</t>
    </rPh>
    <phoneticPr fontId="1"/>
  </si>
  <si>
    <t>区分</t>
    <rPh sb="0" eb="2">
      <t>クブン</t>
    </rPh>
    <phoneticPr fontId="1"/>
  </si>
  <si>
    <t>計算COP</t>
    <rPh sb="0" eb="2">
      <t>ケイサン</t>
    </rPh>
    <phoneticPr fontId="1"/>
  </si>
  <si>
    <t>冷房</t>
    <rPh sb="0" eb="2">
      <t>レイボウ</t>
    </rPh>
    <phoneticPr fontId="1"/>
  </si>
  <si>
    <t>吸収冷凍機</t>
    <rPh sb="0" eb="2">
      <t>キュウシュウ</t>
    </rPh>
    <rPh sb="2" eb="5">
      <t>レイトウキ</t>
    </rPh>
    <phoneticPr fontId="1"/>
  </si>
  <si>
    <t>製造年代区分</t>
    <rPh sb="0" eb="2">
      <t>セイゾウ</t>
    </rPh>
    <rPh sb="2" eb="4">
      <t>ネンダイ</t>
    </rPh>
    <rPh sb="4" eb="6">
      <t>クブン</t>
    </rPh>
    <phoneticPr fontId="1"/>
  </si>
  <si>
    <t>製造年</t>
    <rPh sb="0" eb="2">
      <t>セイゾウ</t>
    </rPh>
    <rPh sb="2" eb="3">
      <t>ネン</t>
    </rPh>
    <phoneticPr fontId="1"/>
  </si>
  <si>
    <t>◆製造年分</t>
    <rPh sb="1" eb="3">
      <t>セイゾウ</t>
    </rPh>
    <rPh sb="3" eb="4">
      <t>ネン</t>
    </rPh>
    <rPh sb="4" eb="5">
      <t>ブン</t>
    </rPh>
    <phoneticPr fontId="1"/>
  </si>
  <si>
    <t>冷暖房</t>
    <rPh sb="0" eb="3">
      <t>レイダンボウ</t>
    </rPh>
    <phoneticPr fontId="1"/>
  </si>
  <si>
    <t>検索用</t>
    <rPh sb="0" eb="3">
      <t>ケンサクヨウ</t>
    </rPh>
    <phoneticPr fontId="1"/>
  </si>
  <si>
    <t>代表発熱量</t>
    <rPh sb="0" eb="2">
      <t>ダイヒョウ</t>
    </rPh>
    <rPh sb="2" eb="4">
      <t>ハツネツ</t>
    </rPh>
    <rPh sb="4" eb="5">
      <t>リョウ</t>
    </rPh>
    <phoneticPr fontId="1"/>
  </si>
  <si>
    <t>プロパン（い号）</t>
    <rPh sb="6" eb="7">
      <t>ゴウ</t>
    </rPh>
    <phoneticPr fontId="1"/>
  </si>
  <si>
    <t>13A（ろ号プロパン）</t>
    <rPh sb="5" eb="6">
      <t>ゴウ</t>
    </rPh>
    <phoneticPr fontId="1"/>
  </si>
  <si>
    <t>低カロリー</t>
    <rPh sb="0" eb="1">
      <t>テイ</t>
    </rPh>
    <phoneticPr fontId="1"/>
  </si>
  <si>
    <t>A重油</t>
    <rPh sb="1" eb="3">
      <t>ジュウユ</t>
    </rPh>
    <phoneticPr fontId="1"/>
  </si>
  <si>
    <t>灯油</t>
    <rPh sb="0" eb="2">
      <t>トウユ</t>
    </rPh>
    <phoneticPr fontId="1"/>
  </si>
  <si>
    <t>単位</t>
    <rPh sb="0" eb="2">
      <t>タンイ</t>
    </rPh>
    <phoneticPr fontId="1"/>
  </si>
  <si>
    <t>定格燃料
使用量</t>
    <rPh sb="0" eb="2">
      <t>テイカク</t>
    </rPh>
    <rPh sb="2" eb="4">
      <t>ネンリョウ</t>
    </rPh>
    <rPh sb="5" eb="8">
      <t>シヨウリョウ</t>
    </rPh>
    <phoneticPr fontId="1"/>
  </si>
  <si>
    <t>ガス</t>
    <phoneticPr fontId="1"/>
  </si>
  <si>
    <t>油</t>
    <rPh sb="0" eb="1">
      <t>アブラ</t>
    </rPh>
    <phoneticPr fontId="1"/>
  </si>
  <si>
    <t>任意入力</t>
    <rPh sb="0" eb="2">
      <t>ニンイ</t>
    </rPh>
    <rPh sb="2" eb="4">
      <t>ニュウリョク</t>
    </rPh>
    <phoneticPr fontId="1"/>
  </si>
  <si>
    <t>冷房負荷率</t>
    <rPh sb="0" eb="2">
      <t>レイボウ</t>
    </rPh>
    <rPh sb="2" eb="4">
      <t>フカ</t>
    </rPh>
    <rPh sb="4" eb="5">
      <t>リツ</t>
    </rPh>
    <phoneticPr fontId="1"/>
  </si>
  <si>
    <t>暖房負荷率</t>
    <rPh sb="0" eb="2">
      <t>ダンボウ</t>
    </rPh>
    <rPh sb="2" eb="4">
      <t>フカ</t>
    </rPh>
    <rPh sb="4" eb="5">
      <t>リツ</t>
    </rPh>
    <phoneticPr fontId="1"/>
  </si>
  <si>
    <t>kcal/kg</t>
    <phoneticPr fontId="1"/>
  </si>
  <si>
    <t>COP比</t>
    <rPh sb="3" eb="4">
      <t>ヒ</t>
    </rPh>
    <phoneticPr fontId="1"/>
  </si>
  <si>
    <t>ks-old 1</t>
    <phoneticPr fontId="1"/>
  </si>
  <si>
    <t>kW</t>
    <phoneticPr fontId="1"/>
  </si>
  <si>
    <t>kW</t>
    <phoneticPr fontId="1"/>
  </si>
  <si>
    <t>kg/h</t>
    <phoneticPr fontId="1"/>
  </si>
  <si>
    <t>蒸気</t>
    <rPh sb="0" eb="2">
      <t>ジョウキ</t>
    </rPh>
    <phoneticPr fontId="1"/>
  </si>
  <si>
    <t>冷却水流量</t>
    <rPh sb="0" eb="3">
      <t>レイキャクスイ</t>
    </rPh>
    <rPh sb="3" eb="5">
      <t>リュウリョウ</t>
    </rPh>
    <phoneticPr fontId="1"/>
  </si>
  <si>
    <t>-</t>
    <phoneticPr fontId="1"/>
  </si>
  <si>
    <t>新しい節電型吸収冷温水機</t>
    <rPh sb="0" eb="1">
      <t>アタラ</t>
    </rPh>
    <rPh sb="3" eb="6">
      <t>セツデンガタ</t>
    </rPh>
    <rPh sb="6" eb="8">
      <t>キュウシュウ</t>
    </rPh>
    <rPh sb="8" eb="11">
      <t>レイオンスイ</t>
    </rPh>
    <rPh sb="11" eb="12">
      <t>キ</t>
    </rPh>
    <phoneticPr fontId="1"/>
  </si>
  <si>
    <t>電力</t>
    <rPh sb="0" eb="2">
      <t>デンリョク</t>
    </rPh>
    <phoneticPr fontId="1"/>
  </si>
  <si>
    <t>冷却水系機内
水頭損失</t>
    <rPh sb="0" eb="3">
      <t>レイキャクスイ</t>
    </rPh>
    <rPh sb="3" eb="4">
      <t>ケイ</t>
    </rPh>
    <rPh sb="4" eb="6">
      <t>キナイ</t>
    </rPh>
    <rPh sb="7" eb="9">
      <t>スイトウ</t>
    </rPh>
    <rPh sb="9" eb="11">
      <t>ソンシツ</t>
    </rPh>
    <phoneticPr fontId="1"/>
  </si>
  <si>
    <t>kPa</t>
    <phoneticPr fontId="1"/>
  </si>
  <si>
    <t>冷却水ポンプ消費電力</t>
    <rPh sb="0" eb="3">
      <t>レイキャクスイ</t>
    </rPh>
    <rPh sb="6" eb="8">
      <t>ショウヒ</t>
    </rPh>
    <rPh sb="8" eb="10">
      <t>デンリョク</t>
    </rPh>
    <phoneticPr fontId="1"/>
  </si>
  <si>
    <t>単位</t>
    <rPh sb="0" eb="2">
      <t>タンイ</t>
    </rPh>
    <phoneticPr fontId="1"/>
  </si>
  <si>
    <t>kg</t>
    <phoneticPr fontId="1"/>
  </si>
  <si>
    <t>比重</t>
    <rPh sb="0" eb="2">
      <t>ヒジュウ</t>
    </rPh>
    <phoneticPr fontId="1"/>
  </si>
  <si>
    <t>発熱量</t>
    <rPh sb="0" eb="2">
      <t>ハツネツ</t>
    </rPh>
    <rPh sb="2" eb="3">
      <t>リョウ</t>
    </rPh>
    <phoneticPr fontId="1"/>
  </si>
  <si>
    <t>(kg/h)</t>
  </si>
  <si>
    <t>◆年間平均負荷率</t>
    <rPh sb="1" eb="3">
      <t>ネンカン</t>
    </rPh>
    <rPh sb="3" eb="5">
      <t>ヘイキン</t>
    </rPh>
    <rPh sb="5" eb="7">
      <t>フカ</t>
    </rPh>
    <rPh sb="7" eb="8">
      <t>リツ</t>
    </rPh>
    <phoneticPr fontId="1"/>
  </si>
  <si>
    <t>◆中間COPテーブル</t>
    <rPh sb="1" eb="3">
      <t>チュウカン</t>
    </rPh>
    <phoneticPr fontId="1"/>
  </si>
  <si>
    <t>冷却水
ポンプ</t>
    <rPh sb="0" eb="3">
      <t>レイキャクスイ</t>
    </rPh>
    <phoneticPr fontId="1"/>
  </si>
  <si>
    <t>◆機器種別</t>
    <rPh sb="1" eb="3">
      <t>キキ</t>
    </rPh>
    <rPh sb="3" eb="5">
      <t>シュベツ</t>
    </rPh>
    <phoneticPr fontId="1"/>
  </si>
  <si>
    <t>ジェネリンク(蒸気)</t>
  </si>
  <si>
    <t>節電型ジェネリンク</t>
    <rPh sb="0" eb="3">
      <t>セツデンガタ</t>
    </rPh>
    <phoneticPr fontId="1"/>
  </si>
  <si>
    <t>吸収冷凍機</t>
    <phoneticPr fontId="1"/>
  </si>
  <si>
    <t>ジェネリンク(蒸気)</t>
    <phoneticPr fontId="1"/>
  </si>
  <si>
    <t>該当</t>
  </si>
  <si>
    <t>稼働時間</t>
    <rPh sb="0" eb="2">
      <t>カドウ</t>
    </rPh>
    <rPh sb="2" eb="4">
      <t>ジカン</t>
    </rPh>
    <phoneticPr fontId="1"/>
  </si>
  <si>
    <t>h</t>
    <phoneticPr fontId="1"/>
  </si>
  <si>
    <t>(kW)</t>
    <phoneticPr fontId="1"/>
  </si>
  <si>
    <t>エネルギー
使用量</t>
    <rPh sb="6" eb="8">
      <t>シヨウ</t>
    </rPh>
    <rPh sb="8" eb="9">
      <t>リョウ</t>
    </rPh>
    <phoneticPr fontId="1"/>
  </si>
  <si>
    <t>%</t>
    <phoneticPr fontId="1"/>
  </si>
  <si>
    <t>(kWh)</t>
  </si>
  <si>
    <t>kWh</t>
  </si>
  <si>
    <t>■基本情報</t>
    <rPh sb="1" eb="3">
      <t>キホン</t>
    </rPh>
    <rPh sb="3" eb="5">
      <t>ジョウホウ</t>
    </rPh>
    <phoneticPr fontId="6"/>
  </si>
  <si>
    <t>既存/導入予定</t>
    <rPh sb="0" eb="2">
      <t>キゾン</t>
    </rPh>
    <rPh sb="3" eb="5">
      <t>ドウニュウ</t>
    </rPh>
    <rPh sb="5" eb="7">
      <t>ヨテイ</t>
    </rPh>
    <phoneticPr fontId="6"/>
  </si>
  <si>
    <t>台数</t>
    <rPh sb="0" eb="2">
      <t>ダイスウ</t>
    </rPh>
    <phoneticPr fontId="6"/>
  </si>
  <si>
    <t>種別</t>
    <rPh sb="0" eb="2">
      <t>シュベツ</t>
    </rPh>
    <phoneticPr fontId="6"/>
  </si>
  <si>
    <t>既存設備</t>
  </si>
  <si>
    <t>既存設備</t>
    <phoneticPr fontId="1"/>
  </si>
  <si>
    <t>導入予定設備</t>
  </si>
  <si>
    <t>導入予定設備前/後</t>
    <rPh sb="6" eb="7">
      <t>マエ</t>
    </rPh>
    <rPh sb="8" eb="9">
      <t>ゴ</t>
    </rPh>
    <phoneticPr fontId="1"/>
  </si>
  <si>
    <t>導入予定設備</t>
    <phoneticPr fontId="1"/>
  </si>
  <si>
    <t>kcal/㎥</t>
  </si>
  <si>
    <t>平均
COP比</t>
    <phoneticPr fontId="6"/>
  </si>
  <si>
    <t>型番</t>
    <phoneticPr fontId="6"/>
  </si>
  <si>
    <t>設置年</t>
    <phoneticPr fontId="6"/>
  </si>
  <si>
    <t>無し（一定速）</t>
  </si>
  <si>
    <t>インバータ制御</t>
    <rPh sb="5" eb="7">
      <t>セイギョ</t>
    </rPh>
    <phoneticPr fontId="1"/>
  </si>
  <si>
    <t>(h)</t>
    <phoneticPr fontId="1"/>
  </si>
  <si>
    <t>平均負荷率</t>
    <rPh sb="0" eb="2">
      <t>ヘイキン</t>
    </rPh>
    <phoneticPr fontId="1"/>
  </si>
  <si>
    <t>型番</t>
  </si>
  <si>
    <t>種別</t>
    <phoneticPr fontId="6"/>
  </si>
  <si>
    <t>(kWh)</t>
    <phoneticPr fontId="1"/>
  </si>
  <si>
    <t>エネルギー使用量</t>
    <rPh sb="5" eb="7">
      <t>シヨウ</t>
    </rPh>
    <rPh sb="7" eb="8">
      <t>リョウ</t>
    </rPh>
    <phoneticPr fontId="6"/>
  </si>
  <si>
    <t>エネルギー使用量</t>
    <rPh sb="5" eb="7">
      <t>シヨウ</t>
    </rPh>
    <rPh sb="7" eb="8">
      <t>リョウ</t>
    </rPh>
    <phoneticPr fontId="1"/>
  </si>
  <si>
    <t>有り</t>
  </si>
  <si>
    <t>冷却水系機内
水頭損失</t>
    <rPh sb="0" eb="3">
      <t>レイキャクスイ</t>
    </rPh>
    <rPh sb="3" eb="4">
      <t>ケイ</t>
    </rPh>
    <rPh sb="4" eb="5">
      <t>キ</t>
    </rPh>
    <rPh sb="5" eb="6">
      <t>ナイ</t>
    </rPh>
    <rPh sb="7" eb="9">
      <t>スイトウ</t>
    </rPh>
    <rPh sb="9" eb="11">
      <t>ソンシツ</t>
    </rPh>
    <phoneticPr fontId="1"/>
  </si>
  <si>
    <t>ジェネリンク(ガス)</t>
    <phoneticPr fontId="1"/>
  </si>
  <si>
    <t>ジェネリンク(油)</t>
    <rPh sb="7" eb="8">
      <t>アブラ</t>
    </rPh>
    <phoneticPr fontId="1"/>
  </si>
  <si>
    <t>ジェネリンク(ガス)</t>
    <phoneticPr fontId="1"/>
  </si>
  <si>
    <t>吸収冷温水機(油)</t>
  </si>
  <si>
    <t>吸収冷温水機(油)</t>
    <phoneticPr fontId="1"/>
  </si>
  <si>
    <t>節電型吸収冷温水機(ガス)</t>
    <rPh sb="0" eb="3">
      <t>セツデンガタ</t>
    </rPh>
    <rPh sb="3" eb="5">
      <t>キュウシュウ</t>
    </rPh>
    <phoneticPr fontId="1"/>
  </si>
  <si>
    <t>節電型吸収冷温水機(油)</t>
    <rPh sb="0" eb="3">
      <t>セツデンガタ</t>
    </rPh>
    <rPh sb="3" eb="5">
      <t>キュウシュウ</t>
    </rPh>
    <phoneticPr fontId="1"/>
  </si>
  <si>
    <t>吸収冷温水機(ガス)</t>
    <rPh sb="0" eb="2">
      <t>キュウシュウ</t>
    </rPh>
    <rPh sb="2" eb="5">
      <t>レイオンスイ</t>
    </rPh>
    <rPh sb="5" eb="6">
      <t>キ</t>
    </rPh>
    <phoneticPr fontId="1"/>
  </si>
  <si>
    <t>吸収冷温水機(油)</t>
    <rPh sb="0" eb="2">
      <t>キュウシュウ</t>
    </rPh>
    <rPh sb="2" eb="5">
      <t>レイオンスイ</t>
    </rPh>
    <rPh sb="5" eb="6">
      <t>キ</t>
    </rPh>
    <phoneticPr fontId="1"/>
  </si>
  <si>
    <t>ジェネリンク(ガス)</t>
    <phoneticPr fontId="1"/>
  </si>
  <si>
    <t>◆既存設備の製造年代定格COP</t>
    <rPh sb="1" eb="3">
      <t>キゾン</t>
    </rPh>
    <rPh sb="3" eb="5">
      <t>セツビ</t>
    </rPh>
    <rPh sb="6" eb="8">
      <t>セイゾウ</t>
    </rPh>
    <rPh sb="8" eb="10">
      <t>ネンダイ</t>
    </rPh>
    <rPh sb="10" eb="12">
      <t>テイカク</t>
    </rPh>
    <phoneticPr fontId="1"/>
  </si>
  <si>
    <t>熱</t>
    <rPh sb="0" eb="1">
      <t>ネツ</t>
    </rPh>
    <phoneticPr fontId="1"/>
  </si>
  <si>
    <t>エネルギー区分</t>
    <phoneticPr fontId="1"/>
  </si>
  <si>
    <t>使用エネルギー</t>
    <phoneticPr fontId="1"/>
  </si>
  <si>
    <t>ガス（プロパン）</t>
    <phoneticPr fontId="1"/>
  </si>
  <si>
    <t>油</t>
  </si>
  <si>
    <t>原油換算係数</t>
    <rPh sb="0" eb="2">
      <t>ゲンユ</t>
    </rPh>
    <rPh sb="2" eb="4">
      <t>カンサン</t>
    </rPh>
    <rPh sb="4" eb="6">
      <t>ケイスウ</t>
    </rPh>
    <phoneticPr fontId="1"/>
  </si>
  <si>
    <t>機器種別</t>
    <rPh sb="0" eb="2">
      <t>キキ</t>
    </rPh>
    <rPh sb="2" eb="4">
      <t>シュベツ</t>
    </rPh>
    <phoneticPr fontId="1"/>
  </si>
  <si>
    <t>1950年以前</t>
  </si>
  <si>
    <t>熱量換算係数</t>
    <rPh sb="0" eb="2">
      <t>ネツリョウ</t>
    </rPh>
    <rPh sb="2" eb="4">
      <t>カンサン</t>
    </rPh>
    <rPh sb="4" eb="6">
      <t>ケイスウ</t>
    </rPh>
    <phoneticPr fontId="6"/>
  </si>
  <si>
    <t>kcal/kg</t>
  </si>
  <si>
    <t>kg/h</t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</si>
  <si>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</si>
  <si>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</si>
  <si>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"/>
  </si>
  <si>
    <t>吸収冷温水機(ガス)</t>
    <phoneticPr fontId="1"/>
  </si>
  <si>
    <t>2017年</t>
    <rPh sb="4" eb="5">
      <t>ネン</t>
    </rPh>
    <phoneticPr fontId="1"/>
  </si>
  <si>
    <t>ガス（その他）</t>
    <rPh sb="5" eb="6">
      <t>タ</t>
    </rPh>
    <phoneticPr fontId="1"/>
  </si>
  <si>
    <t>冷却水ポンプ消費電力
(インバータ制御加味しない)</t>
    <rPh sb="0" eb="3">
      <t>レイキャクスイ</t>
    </rPh>
    <rPh sb="6" eb="8">
      <t>ショウヒ</t>
    </rPh>
    <rPh sb="8" eb="10">
      <t>デンリョク</t>
    </rPh>
    <rPh sb="17" eb="19">
      <t>セイギョ</t>
    </rPh>
    <rPh sb="19" eb="21">
      <t>カミ</t>
    </rPh>
    <phoneticPr fontId="1"/>
  </si>
  <si>
    <t>平均油使用量</t>
    <rPh sb="0" eb="2">
      <t>ヘイキン</t>
    </rPh>
    <rPh sb="2" eb="3">
      <t>アブラ</t>
    </rPh>
    <rPh sb="3" eb="6">
      <t>シヨウリョウ</t>
    </rPh>
    <phoneticPr fontId="1"/>
  </si>
  <si>
    <t>■仕様</t>
    <rPh sb="1" eb="3">
      <t>シヨウ</t>
    </rPh>
    <phoneticPr fontId="1"/>
  </si>
  <si>
    <t>暖房</t>
    <rPh sb="0" eb="2">
      <t>ダンボウ</t>
    </rPh>
    <phoneticPr fontId="1"/>
  </si>
  <si>
    <t>■稼働条件</t>
    <rPh sb="1" eb="3">
      <t>カドウ</t>
    </rPh>
    <rPh sb="3" eb="5">
      <t>ジョウケン</t>
    </rPh>
    <phoneticPr fontId="1"/>
  </si>
  <si>
    <t>燃料種</t>
    <rPh sb="0" eb="2">
      <t>ネンリョウ</t>
    </rPh>
    <rPh sb="2" eb="3">
      <t>シュ</t>
    </rPh>
    <phoneticPr fontId="1"/>
  </si>
  <si>
    <t>■エネルギー使用量</t>
    <rPh sb="6" eb="8">
      <t>シヨウ</t>
    </rPh>
    <rPh sb="8" eb="9">
      <t>リョウ</t>
    </rPh>
    <phoneticPr fontId="6"/>
  </si>
  <si>
    <t>■冷却水ポンプ</t>
    <rPh sb="1" eb="4">
      <t>レイキャクスイ</t>
    </rPh>
    <phoneticPr fontId="1"/>
  </si>
  <si>
    <t>節電型への更新</t>
    <rPh sb="0" eb="3">
      <t>セツデンガタ</t>
    </rPh>
    <rPh sb="5" eb="7">
      <t>コウシン</t>
    </rPh>
    <phoneticPr fontId="1"/>
  </si>
  <si>
    <t>ガス種別</t>
    <rPh sb="2" eb="4">
      <t>シュベツ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</si>
  <si>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</si>
  <si>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■基本情報</t>
    <phoneticPr fontId="1"/>
  </si>
  <si>
    <t>能力</t>
    <rPh sb="0" eb="2">
      <t>ノウリョク</t>
    </rPh>
    <phoneticPr fontId="1"/>
  </si>
  <si>
    <t>kcal/h→kW換算</t>
    <rPh sb="9" eb="11">
      <t>カンサン</t>
    </rPh>
    <phoneticPr fontId="1"/>
  </si>
  <si>
    <t>定格燃料使用量</t>
    <rPh sb="0" eb="2">
      <t>テイカク</t>
    </rPh>
    <rPh sb="2" eb="4">
      <t>ネンリョウ</t>
    </rPh>
    <rPh sb="4" eb="7">
      <t>シヨウリョウ</t>
    </rPh>
    <phoneticPr fontId="1"/>
  </si>
  <si>
    <t>定格COP</t>
    <rPh sb="0" eb="2">
      <t>テイカク</t>
    </rPh>
    <phoneticPr fontId="1"/>
  </si>
  <si>
    <t>s-ks-new 1</t>
    <phoneticPr fontId="1"/>
  </si>
  <si>
    <t>定格
油使用量</t>
    <phoneticPr fontId="1"/>
  </si>
  <si>
    <t>節電型への更新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</si>
  <si>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</si>
  <si>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</si>
  <si>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</si>
  <si>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</si>
  <si>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←「A重油」「灯油」から選択</t>
    <phoneticPr fontId="1"/>
  </si>
  <si>
    <t>←設置年を選択</t>
    <phoneticPr fontId="1"/>
  </si>
  <si>
    <t>←設置台数を入力（半角）</t>
    <phoneticPr fontId="1"/>
  </si>
  <si>
    <t>←「該当」「非該当」から選択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</si>
  <si>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</si>
  <si>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</si>
  <si>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←計算する設備の設置年を入力</t>
    <phoneticPr fontId="1"/>
  </si>
  <si>
    <t>←「A重油」「灯油」から選択</t>
    <phoneticPr fontId="1"/>
  </si>
  <si>
    <t>---------------以降の項目を使って計算します。入力に間違いの無いよう、十分注意して入力してください。---------------</t>
    <rPh sb="48" eb="50">
      <t>ニュウリョク</t>
    </rPh>
    <phoneticPr fontId="6"/>
  </si>
  <si>
    <t>-----------以降の項目を使って計算します。入力に間違いの無いよう、十分注意して入力してください。-----------</t>
    <rPh sb="44" eb="46">
      <t>ニュウリョク</t>
    </rPh>
    <phoneticPr fontId="6"/>
  </si>
  <si>
    <t>台</t>
    <rPh sb="0" eb="1">
      <t>ダイ</t>
    </rPh>
    <phoneticPr fontId="1"/>
  </si>
  <si>
    <t>(L)</t>
    <phoneticPr fontId="1"/>
  </si>
  <si>
    <t>暖房</t>
    <rPh sb="0" eb="2">
      <t>ダンボウ</t>
    </rPh>
    <phoneticPr fontId="1"/>
  </si>
  <si>
    <t>冷房</t>
    <rPh sb="0" eb="2">
      <t>レイボウ</t>
    </rPh>
    <phoneticPr fontId="1"/>
  </si>
  <si>
    <t>その他</t>
    <rPh sb="2" eb="3">
      <t>タ</t>
    </rPh>
    <phoneticPr fontId="1"/>
  </si>
  <si>
    <t>1その他</t>
  </si>
  <si>
    <t>2その他</t>
  </si>
  <si>
    <t>3その他</t>
  </si>
  <si>
    <t>4その他</t>
  </si>
  <si>
    <t>5その他</t>
  </si>
  <si>
    <t>6その他</t>
  </si>
  <si>
    <t>7その他</t>
  </si>
  <si>
    <t>8その他</t>
  </si>
  <si>
    <t>9その他</t>
  </si>
  <si>
    <t>10その他</t>
  </si>
  <si>
    <t>11その他</t>
  </si>
  <si>
    <t>12その他</t>
  </si>
  <si>
    <t>任意入力</t>
    <rPh sb="0" eb="2">
      <t>ニンイ</t>
    </rPh>
    <rPh sb="2" eb="4">
      <t>ニュウリョク</t>
    </rPh>
    <phoneticPr fontId="1"/>
  </si>
  <si>
    <t>その他</t>
    <rPh sb="2" eb="3">
      <t>タ</t>
    </rPh>
    <phoneticPr fontId="1"/>
  </si>
  <si>
    <t>←「店舗」「事務所」「その他」から選択
　 ※「その他」を選択すると任意の負荷率が設定可能</t>
    <phoneticPr fontId="1"/>
  </si>
  <si>
    <t>【平均負荷率】
 [その他]を選択した場合、
 数式を削除した上で任意の
 不負荷率を登録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8" eb="39">
      <t>フ</t>
    </rPh>
    <rPh sb="39" eb="41">
      <t>フカ</t>
    </rPh>
    <rPh sb="41" eb="42">
      <t>リツ</t>
    </rPh>
    <rPh sb="43" eb="45">
      <t>トウロク</t>
    </rPh>
    <phoneticPr fontId="1"/>
  </si>
  <si>
    <t>(L)</t>
    <phoneticPr fontId="1"/>
  </si>
  <si>
    <t>■冷却水ポンプ電力使用量</t>
    <rPh sb="1" eb="4">
      <t>レイキャクスイ</t>
    </rPh>
    <rPh sb="7" eb="9">
      <t>デンリョク</t>
    </rPh>
    <rPh sb="9" eb="12">
      <t>シヨウリョウ</t>
    </rPh>
    <phoneticPr fontId="1"/>
  </si>
  <si>
    <t>■エネルギー使用量</t>
    <rPh sb="6" eb="9">
      <t>シヨウリョウ</t>
    </rPh>
    <phoneticPr fontId="6"/>
  </si>
  <si>
    <t>入力項目</t>
    <rPh sb="0" eb="2">
      <t>ニュウリョク</t>
    </rPh>
    <rPh sb="2" eb="4">
      <t>コウモク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</si>
  <si>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</si>
  <si>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</si>
  <si>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"/>
  </si>
  <si>
    <t>台</t>
    <rPh sb="0" eb="1">
      <t>ダイ</t>
    </rPh>
    <phoneticPr fontId="1"/>
  </si>
  <si>
    <t>様式 1-3　NO.</t>
    <phoneticPr fontId="6"/>
  </si>
  <si>
    <t>様式 1-4　NO.</t>
    <phoneticPr fontId="6"/>
  </si>
  <si>
    <t>メーカー</t>
    <phoneticPr fontId="6"/>
  </si>
  <si>
    <t>←計算する設備のメーカー名を入力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</si>
  <si>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吸収冷温水機（油焚き）　SII省エネ計算フォーマット</t>
    </r>
    <rPh sb="1" eb="3">
      <t>キュウシュウ</t>
    </rPh>
    <rPh sb="3" eb="6">
      <t>レイオンスイ</t>
    </rPh>
    <rPh sb="6" eb="7">
      <t>キ</t>
    </rPh>
    <rPh sb="8" eb="9">
      <t>アブラ</t>
    </rPh>
    <rPh sb="9" eb="10">
      <t>タ</t>
    </rPh>
    <rPh sb="16" eb="17">
      <t>ショウ</t>
    </rPh>
    <rPh sb="19" eb="21">
      <t>ケイサン</t>
    </rPh>
    <phoneticPr fontId="6"/>
  </si>
  <si>
    <t>㎥/h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</si>
</sst>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6" formatCode="&quot;¥&quot;#,##0;[Red]&quot;¥&quot;\-#,##0"/>
    <numFmt numFmtId="176" formatCode="0.0%"/>
    <numFmt numFmtId="177" formatCode="0&quot;月&quot;"/>
    <numFmt numFmtId="178" formatCode="0.000"/>
    <numFmt numFmtId="179" formatCode="0&quot;年&quot;"/>
    <numFmt numFmtId="180" formatCode="&quot;定&quot;&quot;格&quot;&quot;燃&quot;&quot;料&quot;&quot;使&quot;&quot;用&quot;&quot;量&quot;\_x000a_\&amp;\(\&amp;\ 0\ \&amp;\)\&amp;"/>
    <numFmt numFmtId="181" formatCode="0\ &quot;台&quot;"/>
    <numFmt numFmtId="182" formatCode="0.000&quot; kl&quot;"/>
    <numFmt numFmtId="183" formatCode="&quot;(&quot;@&quot;)&quot;"/>
    <numFmt numFmtId="184" formatCode="0.000_);[Red]\(0.000\)"/>
    <numFmt numFmtId="185" formatCode="0_);[Red]\(0\)"/>
    <numFmt numFmtId="186" formatCode="#,##0_);[Red]\(#,##0\)"/>
    <numFmt numFmtId="187" formatCode="#,##0.00_);[Red]\(#,##0.00\)"/>
    <numFmt numFmtId="188" formatCode="#,##0.000_ "/>
    <numFmt numFmtId="189" formatCode="#,##0.0_ ;[Red]\-#,##0.0\ "/>
    <numFmt numFmtId="190" formatCode="#,##0.000_ ;[Red]\-#,##0.000\ "/>
    <numFmt numFmtId="191" formatCode="#,##0.0_);[Red]\(#,##0.0\)"/>
    <numFmt numFmtId="192" formatCode="#,##0_ "/>
    <numFmt numFmtId="193" formatCode="#,##0.0;[Red]\-#,##0.0"/>
    <numFmt numFmtId="194" formatCode="0.0"/>
    <numFmt numFmtId="195" formatCode="0.0_);[Red]\(0.0\)"/>
    <numFmt numFmtId="196" formatCode="#,##0.0_ "/>
    <numFmt numFmtId="197" formatCode="0_ "/>
  </numFmts>
  <fonts count="4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trike/>
      <sz val="11"/>
      <color theme="1"/>
      <name val="ＭＳ Ｐゴシック"/>
      <family val="2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2"/>
      <color theme="1"/>
      <name val="ＭＳ 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ＭＳ 明朝"/>
      <family val="1"/>
      <charset val="128"/>
    </font>
    <font>
      <sz val="9.5"/>
      <name val="ＭＳ 明朝"/>
      <family val="1"/>
      <charset val="128"/>
    </font>
    <font>
      <sz val="11"/>
      <color rgb="FF0070C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8"/>
      <color rgb="FF0070C0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12"/>
      <name val="Osaka"/>
      <family val="1"/>
      <charset val="128"/>
    </font>
    <font>
      <b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 style="thick">
        <color rgb="FFFF0000"/>
      </right>
      <top style="thin">
        <color indexed="64"/>
      </top>
      <bottom style="medium">
        <color rgb="FFFF0000"/>
      </bottom>
      <diagonal/>
    </border>
  </borders>
  <cellStyleXfs count="168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5" fillId="0" borderId="0" applyFont="0" applyFill="0" applyBorder="0" applyAlignment="0" applyProtection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>
      <alignment vertical="center"/>
    </xf>
    <xf numFmtId="38" fontId="4" fillId="0" borderId="0"/>
    <xf numFmtId="17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1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39" fillId="0" borderId="0"/>
    <xf numFmtId="0" fontId="4" fillId="0" borderId="0">
      <alignment vertical="center"/>
    </xf>
    <xf numFmtId="0" fontId="11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/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39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7" fillId="0" borderId="9" xfId="0" applyFont="1" applyFill="1" applyBorder="1">
      <alignment vertical="center"/>
    </xf>
    <xf numFmtId="0" fontId="8" fillId="0" borderId="1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0" fillId="0" borderId="4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8" fontId="0" fillId="0" borderId="1" xfId="0" applyNumberFormat="1" applyBorder="1">
      <alignment vertical="center"/>
    </xf>
    <xf numFmtId="0" fontId="0" fillId="0" borderId="2" xfId="0" applyFill="1" applyBorder="1" applyAlignment="1">
      <alignment vertical="center"/>
    </xf>
    <xf numFmtId="0" fontId="0" fillId="7" borderId="1" xfId="0" applyFill="1" applyBorder="1">
      <alignment vertical="center"/>
    </xf>
    <xf numFmtId="2" fontId="10" fillId="0" borderId="1" xfId="0" applyNumberFormat="1" applyFont="1" applyBorder="1" applyAlignment="1">
      <alignment horizontal="right" vertical="center" readingOrder="1"/>
    </xf>
    <xf numFmtId="2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8" fontId="0" fillId="0" borderId="0" xfId="0" applyNumberFormat="1" applyBorder="1">
      <alignment vertical="center"/>
    </xf>
    <xf numFmtId="179" fontId="0" fillId="0" borderId="1" xfId="0" applyNumberFormat="1" applyFill="1" applyBorder="1">
      <alignment vertical="center"/>
    </xf>
    <xf numFmtId="179" fontId="0" fillId="0" borderId="1" xfId="0" applyNumberFormat="1" applyFill="1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0" fontId="0" fillId="4" borderId="1" xfId="0" applyFill="1" applyBorder="1">
      <alignment vertical="center"/>
    </xf>
    <xf numFmtId="38" fontId="0" fillId="0" borderId="1" xfId="4" applyFont="1" applyBorder="1">
      <alignment vertical="center"/>
    </xf>
    <xf numFmtId="38" fontId="0" fillId="0" borderId="1" xfId="4" applyFont="1" applyFill="1" applyBorder="1">
      <alignment vertical="center"/>
    </xf>
    <xf numFmtId="0" fontId="0" fillId="5" borderId="1" xfId="0" applyFill="1" applyBorder="1">
      <alignment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7" fillId="0" borderId="10" xfId="0" applyFont="1" applyFill="1" applyBorder="1">
      <alignment vertical="center"/>
    </xf>
    <xf numFmtId="0" fontId="12" fillId="0" borderId="0" xfId="8" applyFont="1" applyAlignment="1">
      <alignment vertical="center"/>
    </xf>
    <xf numFmtId="0" fontId="12" fillId="0" borderId="0" xfId="8" applyFont="1" applyFill="1" applyBorder="1" applyAlignment="1">
      <alignment horizontal="left" vertical="center" shrinkToFit="1"/>
    </xf>
    <xf numFmtId="0" fontId="12" fillId="0" borderId="0" xfId="8" applyFont="1" applyAlignment="1">
      <alignment vertical="center" shrinkToFit="1"/>
    </xf>
    <xf numFmtId="0" fontId="12" fillId="0" borderId="0" xfId="8" applyFont="1" applyFill="1" applyAlignment="1">
      <alignment vertical="center"/>
    </xf>
    <xf numFmtId="0" fontId="12" fillId="0" borderId="0" xfId="8" applyFont="1" applyFill="1" applyBorder="1" applyAlignment="1">
      <alignment vertical="center"/>
    </xf>
    <xf numFmtId="0" fontId="12" fillId="0" borderId="0" xfId="8" applyFont="1" applyBorder="1" applyAlignment="1">
      <alignment vertical="center"/>
    </xf>
    <xf numFmtId="0" fontId="2" fillId="0" borderId="0" xfId="0" applyFont="1">
      <alignment vertical="center"/>
    </xf>
    <xf numFmtId="0" fontId="12" fillId="0" borderId="0" xfId="8" applyFont="1" applyFill="1" applyBorder="1" applyAlignment="1">
      <alignment vertical="center" shrinkToFit="1"/>
    </xf>
    <xf numFmtId="0" fontId="12" fillId="0" borderId="0" xfId="8" applyFont="1" applyFill="1" applyBorder="1" applyAlignment="1">
      <alignment horizontal="center" vertical="center" shrinkToFit="1"/>
    </xf>
    <xf numFmtId="0" fontId="12" fillId="0" borderId="0" xfId="8" applyFont="1" applyAlignment="1">
      <alignment horizontal="center" vertical="center" shrinkToFit="1"/>
    </xf>
    <xf numFmtId="0" fontId="12" fillId="0" borderId="22" xfId="8" applyFont="1" applyBorder="1" applyAlignment="1">
      <alignment horizontal="center" vertical="center" shrinkToFit="1"/>
    </xf>
    <xf numFmtId="0" fontId="12" fillId="0" borderId="23" xfId="8" applyFont="1" applyBorder="1" applyAlignment="1">
      <alignment horizontal="center" vertical="center" shrinkToFit="1"/>
    </xf>
    <xf numFmtId="0" fontId="12" fillId="0" borderId="13" xfId="8" applyFont="1" applyBorder="1" applyAlignment="1">
      <alignment horizontal="center" vertical="center" shrinkToFit="1"/>
    </xf>
    <xf numFmtId="0" fontId="12" fillId="0" borderId="13" xfId="8" applyFont="1" applyBorder="1" applyAlignment="1">
      <alignment vertical="center" shrinkToFit="1"/>
    </xf>
    <xf numFmtId="186" fontId="12" fillId="0" borderId="13" xfId="8" applyNumberFormat="1" applyFont="1" applyBorder="1" applyAlignment="1">
      <alignment vertical="center" shrinkToFit="1"/>
    </xf>
    <xf numFmtId="191" fontId="12" fillId="0" borderId="13" xfId="8" applyNumberFormat="1" applyFont="1" applyBorder="1" applyAlignment="1">
      <alignment vertical="center" shrinkToFit="1"/>
    </xf>
    <xf numFmtId="49" fontId="18" fillId="0" borderId="0" xfId="0" applyNumberFormat="1" applyFont="1">
      <alignment vertical="center"/>
    </xf>
    <xf numFmtId="0" fontId="12" fillId="0" borderId="0" xfId="8" applyFont="1" applyFill="1" applyAlignment="1">
      <alignment vertical="center" shrinkToFit="1"/>
    </xf>
    <xf numFmtId="186" fontId="12" fillId="0" borderId="0" xfId="8" applyNumberFormat="1" applyFont="1" applyFill="1" applyBorder="1" applyAlignment="1">
      <alignment vertical="center" shrinkToFit="1"/>
    </xf>
    <xf numFmtId="191" fontId="12" fillId="0" borderId="0" xfId="8" applyNumberFormat="1" applyFont="1" applyFill="1" applyBorder="1" applyAlignment="1">
      <alignment vertical="center" shrinkToFit="1"/>
    </xf>
    <xf numFmtId="0" fontId="12" fillId="0" borderId="13" xfId="8" applyFont="1" applyBorder="1" applyAlignment="1">
      <alignment vertical="center"/>
    </xf>
    <xf numFmtId="179" fontId="12" fillId="0" borderId="0" xfId="8" applyNumberFormat="1" applyFont="1" applyBorder="1" applyAlignment="1">
      <alignment vertical="center"/>
    </xf>
    <xf numFmtId="0" fontId="2" fillId="0" borderId="0" xfId="0" applyFont="1" applyFill="1" applyBorder="1">
      <alignment vertical="center"/>
    </xf>
    <xf numFmtId="0" fontId="12" fillId="0" borderId="13" xfId="8" applyFont="1" applyFill="1" applyBorder="1" applyAlignment="1">
      <alignment horizontal="center" vertical="center" shrinkToFit="1"/>
    </xf>
    <xf numFmtId="0" fontId="4" fillId="0" borderId="1" xfId="3" applyBorder="1" applyAlignment="1">
      <alignment horizontal="left"/>
    </xf>
    <xf numFmtId="178" fontId="0" fillId="0" borderId="0" xfId="0" applyNumberFormat="1">
      <alignment vertical="center"/>
    </xf>
    <xf numFmtId="178" fontId="20" fillId="0" borderId="1" xfId="0" applyNumberFormat="1" applyFont="1" applyFill="1" applyBorder="1" applyAlignment="1">
      <alignment horizontal="center" vertical="center"/>
    </xf>
    <xf numFmtId="0" fontId="22" fillId="0" borderId="0" xfId="22" applyFont="1">
      <alignment vertical="center"/>
    </xf>
    <xf numFmtId="0" fontId="22" fillId="0" borderId="1" xfId="22" applyFont="1" applyBorder="1">
      <alignment vertical="center"/>
    </xf>
    <xf numFmtId="0" fontId="23" fillId="8" borderId="1" xfId="0" applyFont="1" applyFill="1" applyBorder="1">
      <alignment vertical="center"/>
    </xf>
    <xf numFmtId="0" fontId="24" fillId="8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12" fillId="0" borderId="0" xfId="8" quotePrefix="1" applyFont="1" applyAlignment="1">
      <alignment vertical="center"/>
    </xf>
    <xf numFmtId="0" fontId="18" fillId="0" borderId="0" xfId="0" applyNumberFormat="1" applyFont="1">
      <alignment vertical="center"/>
    </xf>
    <xf numFmtId="2" fontId="2" fillId="0" borderId="0" xfId="0" applyNumberFormat="1" applyFont="1">
      <alignment vertical="center"/>
    </xf>
    <xf numFmtId="38" fontId="12" fillId="0" borderId="8" xfId="4" applyFont="1" applyFill="1" applyBorder="1" applyAlignment="1">
      <alignment horizontal="center" vertical="center" shrinkToFit="1"/>
    </xf>
    <xf numFmtId="0" fontId="12" fillId="0" borderId="8" xfId="8" applyFont="1" applyFill="1" applyBorder="1" applyAlignment="1">
      <alignment horizontal="center" vertical="center" shrinkToFit="1"/>
    </xf>
    <xf numFmtId="0" fontId="12" fillId="2" borderId="0" xfId="8" applyFont="1" applyFill="1" applyBorder="1" applyAlignment="1">
      <alignment vertical="center" shrinkToFit="1"/>
    </xf>
    <xf numFmtId="0" fontId="12" fillId="0" borderId="0" xfId="8" applyFont="1" applyBorder="1" applyAlignment="1">
      <alignment vertical="center" shrinkToFit="1"/>
    </xf>
    <xf numFmtId="0" fontId="0" fillId="0" borderId="1" xfId="0" applyBorder="1">
      <alignment vertical="center"/>
    </xf>
    <xf numFmtId="179" fontId="12" fillId="0" borderId="0" xfId="8" applyNumberFormat="1" applyFont="1" applyFill="1" applyBorder="1" applyAlignment="1">
      <alignment vertical="center" shrinkToFit="1"/>
    </xf>
    <xf numFmtId="0" fontId="2" fillId="0" borderId="0" xfId="0" applyFont="1" applyBorder="1">
      <alignment vertical="center"/>
    </xf>
    <xf numFmtId="181" fontId="12" fillId="0" borderId="13" xfId="8" applyNumberFormat="1" applyFont="1" applyFill="1" applyBorder="1" applyAlignment="1">
      <alignment horizontal="left" vertical="center" shrinkToFit="1"/>
    </xf>
    <xf numFmtId="192" fontId="12" fillId="0" borderId="0" xfId="8" applyNumberFormat="1" applyFont="1" applyFill="1" applyBorder="1" applyAlignment="1">
      <alignment vertical="center" shrinkToFit="1"/>
    </xf>
    <xf numFmtId="38" fontId="12" fillId="0" borderId="0" xfId="4" applyFont="1" applyFill="1" applyBorder="1" applyAlignment="1">
      <alignment horizontal="center" vertical="center" shrinkToFit="1"/>
    </xf>
    <xf numFmtId="0" fontId="12" fillId="0" borderId="0" xfId="8" applyFont="1" applyAlignment="1">
      <alignment vertical="center"/>
    </xf>
    <xf numFmtId="0" fontId="2" fillId="0" borderId="0" xfId="0" applyFont="1">
      <alignment vertical="center"/>
    </xf>
    <xf numFmtId="0" fontId="12" fillId="0" borderId="0" xfId="8" applyFont="1" applyAlignment="1">
      <alignment vertical="center"/>
    </xf>
    <xf numFmtId="0" fontId="2" fillId="0" borderId="0" xfId="0" applyFont="1">
      <alignment vertical="center"/>
    </xf>
    <xf numFmtId="0" fontId="12" fillId="0" borderId="0" xfId="8" applyFont="1" applyAlignment="1">
      <alignment vertical="center" shrinkToFit="1"/>
    </xf>
    <xf numFmtId="0" fontId="12" fillId="0" borderId="0" xfId="8" applyFont="1" applyFill="1" applyBorder="1" applyAlignment="1">
      <alignment vertical="center" shrinkToFit="1"/>
    </xf>
    <xf numFmtId="0" fontId="12" fillId="0" borderId="0" xfId="8" applyFont="1" applyAlignment="1">
      <alignment vertical="center"/>
    </xf>
    <xf numFmtId="0" fontId="2" fillId="0" borderId="0" xfId="0" applyFont="1">
      <alignment vertical="center"/>
    </xf>
    <xf numFmtId="0" fontId="12" fillId="0" borderId="0" xfId="8" applyFont="1" applyAlignment="1">
      <alignment vertical="center" shrinkToFit="1"/>
    </xf>
    <xf numFmtId="0" fontId="12" fillId="0" borderId="0" xfId="8" applyFont="1" applyFill="1" applyBorder="1" applyAlignment="1">
      <alignment vertical="center" shrinkToFit="1"/>
    </xf>
    <xf numFmtId="0" fontId="12" fillId="0" borderId="0" xfId="8" applyFont="1" applyFill="1" applyBorder="1" applyAlignment="1">
      <alignment vertical="center"/>
    </xf>
    <xf numFmtId="0" fontId="12" fillId="0" borderId="0" xfId="8" applyFont="1" applyFill="1" applyBorder="1" applyAlignment="1">
      <alignment horizontal="center" vertical="center" shrinkToFit="1"/>
    </xf>
    <xf numFmtId="0" fontId="12" fillId="6" borderId="0" xfId="8" applyFont="1" applyFill="1" applyBorder="1" applyAlignment="1">
      <alignment vertical="center" shrinkToFit="1"/>
    </xf>
    <xf numFmtId="0" fontId="2" fillId="0" borderId="0" xfId="0" applyFont="1" applyBorder="1">
      <alignment vertical="center"/>
    </xf>
    <xf numFmtId="0" fontId="12" fillId="0" borderId="0" xfId="8" applyFont="1" applyBorder="1" applyAlignment="1">
      <alignment vertical="center" shrinkToFit="1"/>
    </xf>
    <xf numFmtId="0" fontId="12" fillId="0" borderId="0" xfId="8" applyFont="1" applyAlignment="1">
      <alignment horizontal="center" vertical="center"/>
    </xf>
    <xf numFmtId="0" fontId="29" fillId="0" borderId="0" xfId="8" applyFont="1" applyAlignment="1">
      <alignment horizontal="left" vertical="center"/>
    </xf>
    <xf numFmtId="0" fontId="29" fillId="0" borderId="0" xfId="8" applyFont="1" applyAlignment="1">
      <alignment horizontal="left" vertical="center"/>
    </xf>
    <xf numFmtId="0" fontId="12" fillId="0" borderId="0" xfId="8" applyFont="1" applyFill="1" applyBorder="1" applyAlignment="1">
      <alignment horizontal="center" vertical="center" shrinkToFit="1"/>
    </xf>
    <xf numFmtId="0" fontId="32" fillId="0" borderId="0" xfId="8" applyFont="1" applyAlignment="1">
      <alignment vertical="center" shrinkToFit="1"/>
    </xf>
    <xf numFmtId="0" fontId="32" fillId="0" borderId="0" xfId="8" applyFont="1" applyFill="1" applyBorder="1" applyAlignment="1">
      <alignment horizontal="center" vertical="center" shrinkToFit="1"/>
    </xf>
    <xf numFmtId="38" fontId="32" fillId="0" borderId="0" xfId="4" applyFont="1" applyFill="1" applyBorder="1" applyAlignment="1">
      <alignment horizontal="center" vertical="center" shrinkToFit="1"/>
    </xf>
    <xf numFmtId="0" fontId="31" fillId="0" borderId="0" xfId="8" applyFont="1" applyFill="1" applyBorder="1" applyAlignment="1">
      <alignment horizontal="left" vertical="center" shrinkToFit="1"/>
    </xf>
    <xf numFmtId="0" fontId="34" fillId="0" borderId="0" xfId="0" applyFont="1" applyFill="1" applyBorder="1">
      <alignment vertical="center"/>
    </xf>
    <xf numFmtId="190" fontId="12" fillId="0" borderId="0" xfId="4" applyNumberFormat="1" applyFont="1" applyBorder="1" applyAlignment="1">
      <alignment horizontal="right" vertical="center" shrinkToFit="1"/>
    </xf>
    <xf numFmtId="190" fontId="12" fillId="0" borderId="0" xfId="4" applyNumberFormat="1" applyFont="1" applyBorder="1" applyAlignment="1">
      <alignment vertical="center" shrinkToFit="1"/>
    </xf>
    <xf numFmtId="190" fontId="12" fillId="0" borderId="0" xfId="4" applyNumberFormat="1" applyFont="1" applyFill="1" applyBorder="1" applyAlignment="1">
      <alignment vertical="center" shrinkToFit="1"/>
    </xf>
    <xf numFmtId="0" fontId="31" fillId="0" borderId="11" xfId="8" applyFont="1" applyFill="1" applyBorder="1" applyAlignment="1">
      <alignment vertical="center" shrinkToFit="1"/>
    </xf>
    <xf numFmtId="0" fontId="31" fillId="0" borderId="0" xfId="8" applyFont="1" applyFill="1" applyBorder="1" applyAlignment="1">
      <alignment vertical="center" shrinkToFit="1"/>
    </xf>
    <xf numFmtId="0" fontId="35" fillId="0" borderId="0" xfId="8" applyFont="1" applyAlignment="1">
      <alignment horizontal="center" vertical="center"/>
    </xf>
    <xf numFmtId="184" fontId="12" fillId="0" borderId="39" xfId="8" applyNumberFormat="1" applyFont="1" applyFill="1" applyBorder="1" applyAlignment="1">
      <alignment vertical="center" shrinkToFit="1"/>
    </xf>
    <xf numFmtId="184" fontId="12" fillId="0" borderId="0" xfId="8" applyNumberFormat="1" applyFont="1" applyFill="1" applyBorder="1" applyAlignment="1">
      <alignment vertical="center" shrinkToFit="1"/>
    </xf>
    <xf numFmtId="0" fontId="12" fillId="6" borderId="29" xfId="8" applyFont="1" applyFill="1" applyBorder="1" applyAlignment="1">
      <alignment vertical="center" shrinkToFit="1"/>
    </xf>
    <xf numFmtId="0" fontId="12" fillId="2" borderId="30" xfId="8" applyFont="1" applyFill="1" applyBorder="1" applyAlignment="1">
      <alignment vertical="center" shrinkToFit="1"/>
    </xf>
    <xf numFmtId="192" fontId="12" fillId="0" borderId="29" xfId="8" applyNumberFormat="1" applyFont="1" applyFill="1" applyBorder="1" applyAlignment="1">
      <alignment vertical="center" shrinkToFit="1"/>
    </xf>
    <xf numFmtId="0" fontId="12" fillId="0" borderId="29" xfId="8" applyFont="1" applyBorder="1" applyAlignment="1">
      <alignment vertical="center" shrinkToFit="1"/>
    </xf>
    <xf numFmtId="0" fontId="2" fillId="0" borderId="0" xfId="0" applyFont="1" applyAlignment="1">
      <alignment vertical="center" wrapText="1"/>
    </xf>
    <xf numFmtId="0" fontId="12" fillId="0" borderId="29" xfId="8" applyFont="1" applyBorder="1" applyAlignment="1">
      <alignment vertical="center"/>
    </xf>
    <xf numFmtId="194" fontId="12" fillId="0" borderId="29" xfId="8" applyNumberFormat="1" applyFont="1" applyBorder="1" applyAlignment="1">
      <alignment vertical="center"/>
    </xf>
    <xf numFmtId="0" fontId="2" fillId="0" borderId="29" xfId="0" applyFont="1" applyBorder="1">
      <alignment vertical="center"/>
    </xf>
    <xf numFmtId="194" fontId="12" fillId="0" borderId="0" xfId="8" applyNumberFormat="1" applyFont="1" applyBorder="1" applyAlignment="1">
      <alignment vertical="center"/>
    </xf>
    <xf numFmtId="0" fontId="12" fillId="0" borderId="29" xfId="8" applyFont="1" applyBorder="1" applyAlignment="1">
      <alignment horizontal="center" vertical="center"/>
    </xf>
    <xf numFmtId="178" fontId="12" fillId="0" borderId="29" xfId="8" applyNumberFormat="1" applyFont="1" applyBorder="1" applyAlignment="1">
      <alignment horizontal="center" vertical="center"/>
    </xf>
    <xf numFmtId="194" fontId="12" fillId="0" borderId="29" xfId="8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25" fillId="2" borderId="0" xfId="8" applyFont="1" applyFill="1" applyBorder="1" applyAlignment="1">
      <alignment vertical="center" shrinkToFit="1"/>
    </xf>
    <xf numFmtId="192" fontId="25" fillId="0" borderId="0" xfId="8" applyNumberFormat="1" applyFont="1" applyFill="1" applyBorder="1" applyAlignment="1">
      <alignment vertical="center" shrinkToFit="1"/>
    </xf>
    <xf numFmtId="49" fontId="30" fillId="0" borderId="0" xfId="0" applyNumberFormat="1" applyFont="1">
      <alignment vertical="center"/>
    </xf>
    <xf numFmtId="0" fontId="25" fillId="0" borderId="0" xfId="8" applyFont="1" applyAlignment="1">
      <alignment vertical="center"/>
    </xf>
    <xf numFmtId="190" fontId="12" fillId="0" borderId="0" xfId="4" applyNumberFormat="1" applyFont="1" applyFill="1" applyBorder="1" applyAlignment="1">
      <alignment horizontal="right" vertical="center" shrinkToFit="1"/>
    </xf>
    <xf numFmtId="0" fontId="12" fillId="0" borderId="0" xfId="8" applyFont="1" applyBorder="1" applyAlignment="1">
      <alignment horizontal="center" vertical="center" shrinkToFit="1"/>
    </xf>
    <xf numFmtId="186" fontId="12" fillId="0" borderId="0" xfId="8" applyNumberFormat="1" applyFont="1" applyBorder="1" applyAlignment="1">
      <alignment vertical="center" shrinkToFit="1"/>
    </xf>
    <xf numFmtId="0" fontId="12" fillId="0" borderId="13" xfId="8" applyFont="1" applyFill="1" applyBorder="1" applyAlignment="1">
      <alignment horizontal="center" vertical="center" textRotation="255" shrinkToFit="1"/>
    </xf>
    <xf numFmtId="186" fontId="12" fillId="0" borderId="13" xfId="8" applyNumberFormat="1" applyFont="1" applyFill="1" applyBorder="1" applyAlignment="1">
      <alignment horizontal="right" vertical="center" shrinkToFit="1"/>
    </xf>
    <xf numFmtId="0" fontId="12" fillId="0" borderId="13" xfId="8" applyFont="1" applyFill="1" applyBorder="1" applyAlignment="1">
      <alignment horizontal="right" vertical="center" shrinkToFit="1"/>
    </xf>
    <xf numFmtId="187" fontId="12" fillId="0" borderId="13" xfId="8" applyNumberFormat="1" applyFont="1" applyFill="1" applyBorder="1" applyAlignment="1">
      <alignment horizontal="right" vertical="center" shrinkToFit="1"/>
    </xf>
    <xf numFmtId="189" fontId="12" fillId="0" borderId="13" xfId="4" applyNumberFormat="1" applyFont="1" applyFill="1" applyBorder="1" applyAlignment="1">
      <alignment horizontal="right" vertical="center" shrinkToFit="1"/>
    </xf>
    <xf numFmtId="0" fontId="12" fillId="2" borderId="29" xfId="8" applyFont="1" applyFill="1" applyBorder="1" applyAlignment="1">
      <alignment vertical="center" shrinkToFit="1"/>
    </xf>
    <xf numFmtId="0" fontId="12" fillId="0" borderId="0" xfId="8" applyFont="1" applyBorder="1" applyAlignment="1">
      <alignment horizontal="center" vertical="center"/>
    </xf>
    <xf numFmtId="0" fontId="12" fillId="0" borderId="0" xfId="8" quotePrefix="1" applyFont="1" applyAlignment="1">
      <alignment horizontal="left" vertical="center"/>
    </xf>
    <xf numFmtId="193" fontId="12" fillId="0" borderId="29" xfId="4" applyNumberFormat="1" applyFont="1" applyBorder="1" applyAlignment="1">
      <alignment horizontal="center" vertical="center"/>
    </xf>
    <xf numFmtId="196" fontId="12" fillId="0" borderId="29" xfId="4" applyNumberFormat="1" applyFont="1" applyBorder="1" applyAlignment="1">
      <alignment horizontal="center" vertical="center"/>
    </xf>
    <xf numFmtId="179" fontId="12" fillId="0" borderId="29" xfId="8" applyNumberFormat="1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2" fillId="0" borderId="29" xfId="0" applyFont="1" applyBorder="1" applyAlignment="1">
      <alignment vertical="center" wrapText="1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0" fontId="35" fillId="0" borderId="0" xfId="8" applyFont="1" applyAlignment="1">
      <alignment vertical="center"/>
    </xf>
    <xf numFmtId="0" fontId="35" fillId="0" borderId="0" xfId="8" applyFont="1" applyAlignment="1">
      <alignment vertical="center"/>
    </xf>
    <xf numFmtId="193" fontId="12" fillId="0" borderId="0" xfId="4" applyNumberFormat="1" applyFont="1" applyBorder="1" applyAlignment="1">
      <alignment horizontal="center" vertical="center"/>
    </xf>
    <xf numFmtId="196" fontId="12" fillId="0" borderId="0" xfId="4" applyNumberFormat="1" applyFont="1" applyBorder="1" applyAlignment="1">
      <alignment horizontal="center" vertical="center"/>
    </xf>
    <xf numFmtId="178" fontId="12" fillId="0" borderId="0" xfId="8" applyNumberFormat="1" applyFont="1" applyBorder="1" applyAlignment="1">
      <alignment horizontal="center" vertical="center"/>
    </xf>
    <xf numFmtId="0" fontId="29" fillId="0" borderId="0" xfId="8" applyFont="1" applyAlignment="1">
      <alignment horizontal="left" vertical="center"/>
    </xf>
    <xf numFmtId="0" fontId="12" fillId="6" borderId="16" xfId="8" applyFont="1" applyFill="1" applyBorder="1" applyAlignment="1">
      <alignment horizontal="center" vertical="center" shrinkToFit="1"/>
    </xf>
    <xf numFmtId="0" fontId="12" fillId="6" borderId="8" xfId="8" applyFont="1" applyFill="1" applyBorder="1" applyAlignment="1">
      <alignment horizontal="center" vertical="center" shrinkToFit="1"/>
    </xf>
    <xf numFmtId="0" fontId="12" fillId="6" borderId="17" xfId="8" applyFont="1" applyFill="1" applyBorder="1" applyAlignment="1">
      <alignment horizontal="center" vertical="center" shrinkToFit="1"/>
    </xf>
    <xf numFmtId="193" fontId="12" fillId="2" borderId="26" xfId="4" applyNumberFormat="1" applyFont="1" applyFill="1" applyBorder="1" applyAlignment="1" applyProtection="1">
      <alignment horizontal="center" vertical="center" shrinkToFit="1"/>
      <protection locked="0"/>
    </xf>
    <xf numFmtId="193" fontId="12" fillId="2" borderId="27" xfId="4" applyNumberFormat="1" applyFont="1" applyFill="1" applyBorder="1" applyAlignment="1" applyProtection="1">
      <alignment horizontal="center" vertical="center" shrinkToFit="1"/>
      <protection locked="0"/>
    </xf>
    <xf numFmtId="0" fontId="12" fillId="2" borderId="27" xfId="8" applyFont="1" applyFill="1" applyBorder="1" applyAlignment="1" applyProtection="1">
      <alignment horizontal="center" vertical="center" shrinkToFit="1"/>
      <protection locked="0"/>
    </xf>
    <xf numFmtId="0" fontId="12" fillId="2" borderId="28" xfId="8" applyFont="1" applyFill="1" applyBorder="1" applyAlignment="1" applyProtection="1">
      <alignment horizontal="center" vertical="center" shrinkToFit="1"/>
      <protection locked="0"/>
    </xf>
    <xf numFmtId="0" fontId="12" fillId="6" borderId="4" xfId="8" applyFont="1" applyFill="1" applyBorder="1" applyAlignment="1">
      <alignment horizontal="center" vertical="center" shrinkToFit="1"/>
    </xf>
    <xf numFmtId="0" fontId="12" fillId="6" borderId="5" xfId="8" applyFont="1" applyFill="1" applyBorder="1" applyAlignment="1">
      <alignment horizontal="center" vertical="center" shrinkToFit="1"/>
    </xf>
    <xf numFmtId="0" fontId="12" fillId="6" borderId="6" xfId="8" applyFont="1" applyFill="1" applyBorder="1" applyAlignment="1">
      <alignment horizontal="center" vertical="center" shrinkToFit="1"/>
    </xf>
    <xf numFmtId="0" fontId="12" fillId="0" borderId="4" xfId="8" applyFont="1" applyFill="1" applyBorder="1" applyAlignment="1" applyProtection="1">
      <alignment horizontal="left" vertical="center" shrinkToFit="1"/>
    </xf>
    <xf numFmtId="0" fontId="12" fillId="0" borderId="5" xfId="8" applyFont="1" applyFill="1" applyBorder="1" applyAlignment="1" applyProtection="1">
      <alignment horizontal="left" vertical="center" shrinkToFit="1"/>
    </xf>
    <xf numFmtId="0" fontId="12" fillId="0" borderId="6" xfId="8" applyFont="1" applyFill="1" applyBorder="1" applyAlignment="1" applyProtection="1">
      <alignment horizontal="left" vertical="center" shrinkToFit="1"/>
    </xf>
    <xf numFmtId="0" fontId="12" fillId="2" borderId="4" xfId="8" applyFont="1" applyFill="1" applyBorder="1" applyAlignment="1" applyProtection="1">
      <alignment horizontal="left" vertical="center" shrinkToFit="1"/>
      <protection locked="0"/>
    </xf>
    <xf numFmtId="0" fontId="12" fillId="2" borderId="5" xfId="8" applyFont="1" applyFill="1" applyBorder="1" applyAlignment="1" applyProtection="1">
      <alignment horizontal="left" vertical="center" shrinkToFit="1"/>
      <protection locked="0"/>
    </xf>
    <xf numFmtId="0" fontId="12" fillId="2" borderId="6" xfId="8" applyFont="1" applyFill="1" applyBorder="1" applyAlignment="1" applyProtection="1">
      <alignment horizontal="left" vertical="center" shrinkToFit="1"/>
      <protection locked="0"/>
    </xf>
    <xf numFmtId="0" fontId="12" fillId="6" borderId="12" xfId="8" applyFont="1" applyFill="1" applyBorder="1" applyAlignment="1">
      <alignment horizontal="center" vertical="center" shrinkToFit="1"/>
    </xf>
    <xf numFmtId="0" fontId="12" fillId="6" borderId="13" xfId="8" applyFont="1" applyFill="1" applyBorder="1" applyAlignment="1">
      <alignment horizontal="center" vertical="center" shrinkToFit="1"/>
    </xf>
    <xf numFmtId="0" fontId="12" fillId="6" borderId="15" xfId="8" applyFont="1" applyFill="1" applyBorder="1" applyAlignment="1">
      <alignment horizontal="center" vertical="center" shrinkToFit="1"/>
    </xf>
    <xf numFmtId="0" fontId="31" fillId="0" borderId="0" xfId="8" applyFont="1" applyFill="1" applyBorder="1" applyAlignment="1">
      <alignment horizontal="left" vertical="center" shrinkToFit="1"/>
    </xf>
    <xf numFmtId="0" fontId="36" fillId="0" borderId="0" xfId="8" quotePrefix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8" applyFont="1" applyFill="1" applyBorder="1" applyAlignment="1">
      <alignment horizontal="center" vertical="center" wrapText="1"/>
    </xf>
    <xf numFmtId="182" fontId="16" fillId="0" borderId="0" xfId="8" applyNumberFormat="1" applyFont="1" applyFill="1" applyBorder="1" applyAlignment="1">
      <alignment horizontal="right" vertical="center"/>
    </xf>
    <xf numFmtId="0" fontId="12" fillId="6" borderId="19" xfId="8" applyFont="1" applyFill="1" applyBorder="1" applyAlignment="1">
      <alignment horizontal="center" vertical="center" shrinkToFit="1"/>
    </xf>
    <xf numFmtId="0" fontId="12" fillId="6" borderId="20" xfId="8" applyFont="1" applyFill="1" applyBorder="1" applyAlignment="1">
      <alignment horizontal="center" vertical="center" shrinkToFit="1"/>
    </xf>
    <xf numFmtId="0" fontId="12" fillId="0" borderId="19" xfId="8" applyFont="1" applyBorder="1" applyAlignment="1">
      <alignment horizontal="center" vertical="center" shrinkToFit="1"/>
    </xf>
    <xf numFmtId="0" fontId="12" fillId="0" borderId="20" xfId="8" applyFont="1" applyBorder="1" applyAlignment="1">
      <alignment horizontal="center" vertical="center" shrinkToFit="1"/>
    </xf>
    <xf numFmtId="185" fontId="12" fillId="0" borderId="19" xfId="4" applyNumberFormat="1" applyFont="1" applyFill="1" applyBorder="1" applyAlignment="1">
      <alignment horizontal="right" shrinkToFit="1"/>
    </xf>
    <xf numFmtId="185" fontId="12" fillId="0" borderId="20" xfId="4" applyNumberFormat="1" applyFont="1" applyFill="1" applyBorder="1" applyAlignment="1">
      <alignment horizontal="right" shrinkToFit="1"/>
    </xf>
    <xf numFmtId="185" fontId="12" fillId="0" borderId="21" xfId="4" applyNumberFormat="1" applyFont="1" applyFill="1" applyBorder="1" applyAlignment="1">
      <alignment horizontal="right" shrinkToFit="1"/>
    </xf>
    <xf numFmtId="186" fontId="12" fillId="0" borderId="22" xfId="8" applyNumberFormat="1" applyFont="1" applyBorder="1" applyAlignment="1">
      <alignment horizontal="right" vertical="center" shrinkToFit="1"/>
    </xf>
    <xf numFmtId="186" fontId="12" fillId="0" borderId="23" xfId="8" applyNumberFormat="1" applyFont="1" applyBorder="1" applyAlignment="1">
      <alignment horizontal="right" vertical="center" shrinkToFit="1"/>
    </xf>
    <xf numFmtId="186" fontId="12" fillId="0" borderId="24" xfId="8" applyNumberFormat="1" applyFont="1" applyBorder="1" applyAlignment="1">
      <alignment horizontal="right" vertical="center" shrinkToFit="1"/>
    </xf>
    <xf numFmtId="191" fontId="12" fillId="0" borderId="16" xfId="4" applyNumberFormat="1" applyFont="1" applyBorder="1" applyAlignment="1">
      <alignment horizontal="right" vertical="center" shrinkToFit="1"/>
    </xf>
    <xf numFmtId="191" fontId="12" fillId="0" borderId="8" xfId="4" applyNumberFormat="1" applyFont="1" applyBorder="1" applyAlignment="1">
      <alignment horizontal="right" vertical="center" shrinkToFit="1"/>
    </xf>
    <xf numFmtId="191" fontId="12" fillId="0" borderId="17" xfId="4" applyNumberFormat="1" applyFont="1" applyBorder="1" applyAlignment="1">
      <alignment horizontal="right" vertical="center" shrinkToFit="1"/>
    </xf>
    <xf numFmtId="190" fontId="12" fillId="0" borderId="11" xfId="4" applyNumberFormat="1" applyFont="1" applyFill="1" applyBorder="1" applyAlignment="1">
      <alignment horizontal="right" vertical="center" shrinkToFit="1"/>
    </xf>
    <xf numFmtId="190" fontId="12" fillId="0" borderId="0" xfId="4" applyNumberFormat="1" applyFont="1" applyFill="1" applyBorder="1" applyAlignment="1">
      <alignment horizontal="right" vertical="center" shrinkToFit="1"/>
    </xf>
    <xf numFmtId="0" fontId="12" fillId="0" borderId="13" xfId="8" applyFont="1" applyBorder="1" applyAlignment="1">
      <alignment horizontal="left" vertical="center"/>
    </xf>
    <xf numFmtId="177" fontId="12" fillId="6" borderId="4" xfId="8" applyNumberFormat="1" applyFont="1" applyFill="1" applyBorder="1" applyAlignment="1">
      <alignment horizontal="center" vertical="center" shrinkToFit="1"/>
    </xf>
    <xf numFmtId="177" fontId="12" fillId="6" borderId="5" xfId="8" applyNumberFormat="1" applyFont="1" applyFill="1" applyBorder="1" applyAlignment="1">
      <alignment horizontal="center" vertical="center" shrinkToFit="1"/>
    </xf>
    <xf numFmtId="0" fontId="12" fillId="0" borderId="4" xfId="0" applyFont="1" applyFill="1" applyBorder="1" applyAlignment="1" applyProtection="1">
      <alignment horizontal="center" vertical="center" shrinkToFit="1"/>
    </xf>
    <xf numFmtId="0" fontId="12" fillId="0" borderId="5" xfId="0" applyFont="1" applyFill="1" applyBorder="1" applyAlignment="1" applyProtection="1">
      <alignment horizontal="center" vertical="center" shrinkToFit="1"/>
    </xf>
    <xf numFmtId="195" fontId="12" fillId="0" borderId="4" xfId="8" applyNumberFormat="1" applyFont="1" applyBorder="1" applyAlignment="1" applyProtection="1">
      <alignment horizontal="right" vertical="center" shrinkToFit="1"/>
    </xf>
    <xf numFmtId="195" fontId="12" fillId="0" borderId="5" xfId="8" applyNumberFormat="1" applyFont="1" applyBorder="1" applyAlignment="1" applyProtection="1">
      <alignment horizontal="right" vertical="center" shrinkToFit="1"/>
    </xf>
    <xf numFmtId="195" fontId="12" fillId="0" borderId="6" xfId="8" applyNumberFormat="1" applyFont="1" applyBorder="1" applyAlignment="1" applyProtection="1">
      <alignment horizontal="right" vertical="center" shrinkToFit="1"/>
    </xf>
    <xf numFmtId="186" fontId="12" fillId="0" borderId="12" xfId="4" applyNumberFormat="1" applyFont="1" applyFill="1" applyBorder="1" applyAlignment="1" applyProtection="1">
      <alignment horizontal="right" shrinkToFit="1"/>
    </xf>
    <xf numFmtId="186" fontId="12" fillId="0" borderId="13" xfId="4" applyNumberFormat="1" applyFont="1" applyFill="1" applyBorder="1" applyAlignment="1" applyProtection="1">
      <alignment horizontal="right" shrinkToFit="1"/>
    </xf>
    <xf numFmtId="191" fontId="12" fillId="0" borderId="36" xfId="4" applyNumberFormat="1" applyFont="1" applyBorder="1" applyAlignment="1" applyProtection="1">
      <alignment horizontal="right" vertical="center" shrinkToFit="1"/>
    </xf>
    <xf numFmtId="191" fontId="12" fillId="0" borderId="37" xfId="4" applyNumberFormat="1" applyFont="1" applyBorder="1" applyAlignment="1" applyProtection="1">
      <alignment horizontal="right" vertical="center" shrinkToFit="1"/>
    </xf>
    <xf numFmtId="191" fontId="12" fillId="0" borderId="38" xfId="4" applyNumberFormat="1" applyFont="1" applyBorder="1" applyAlignment="1" applyProtection="1">
      <alignment horizontal="right" vertical="center" shrinkToFit="1"/>
    </xf>
    <xf numFmtId="184" fontId="12" fillId="0" borderId="0" xfId="8" applyNumberFormat="1" applyFont="1" applyFill="1" applyBorder="1" applyAlignment="1">
      <alignment horizontal="right" vertical="center" shrinkToFit="1"/>
    </xf>
    <xf numFmtId="186" fontId="12" fillId="0" borderId="4" xfId="4" applyNumberFormat="1" applyFont="1" applyFill="1" applyBorder="1" applyAlignment="1" applyProtection="1">
      <alignment horizontal="right" shrinkToFit="1"/>
    </xf>
    <xf numFmtId="186" fontId="12" fillId="0" borderId="5" xfId="4" applyNumberFormat="1" applyFont="1" applyFill="1" applyBorder="1" applyAlignment="1" applyProtection="1">
      <alignment horizontal="right" shrinkToFit="1"/>
    </xf>
    <xf numFmtId="191" fontId="12" fillId="0" borderId="34" xfId="4" applyNumberFormat="1" applyFont="1" applyBorder="1" applyAlignment="1" applyProtection="1">
      <alignment horizontal="right" vertical="center" shrinkToFit="1"/>
    </xf>
    <xf numFmtId="191" fontId="12" fillId="0" borderId="5" xfId="4" applyNumberFormat="1" applyFont="1" applyBorder="1" applyAlignment="1" applyProtection="1">
      <alignment horizontal="right" vertical="center" shrinkToFit="1"/>
    </xf>
    <xf numFmtId="191" fontId="12" fillId="0" borderId="35" xfId="4" applyNumberFormat="1" applyFont="1" applyBorder="1" applyAlignment="1" applyProtection="1">
      <alignment horizontal="right" vertical="center" shrinkToFit="1"/>
    </xf>
    <xf numFmtId="186" fontId="12" fillId="0" borderId="25" xfId="8" applyNumberFormat="1" applyFont="1" applyBorder="1" applyAlignment="1">
      <alignment horizontal="right" vertical="center" shrinkToFit="1"/>
    </xf>
    <xf numFmtId="0" fontId="12" fillId="0" borderId="19" xfId="8" applyFont="1" applyBorder="1" applyAlignment="1">
      <alignment horizontal="right" vertical="center" shrinkToFit="1"/>
    </xf>
    <xf numFmtId="0" fontId="12" fillId="0" borderId="20" xfId="8" applyFont="1" applyBorder="1" applyAlignment="1">
      <alignment horizontal="right" vertical="center" shrinkToFit="1"/>
    </xf>
    <xf numFmtId="0" fontId="12" fillId="0" borderId="21" xfId="8" applyFont="1" applyBorder="1" applyAlignment="1">
      <alignment horizontal="right" vertical="center" shrinkToFit="1"/>
    </xf>
    <xf numFmtId="187" fontId="12" fillId="0" borderId="19" xfId="8" applyNumberFormat="1" applyFont="1" applyBorder="1" applyAlignment="1">
      <alignment horizontal="right" vertical="center" shrinkToFit="1"/>
    </xf>
    <xf numFmtId="187" fontId="12" fillId="0" borderId="20" xfId="8" applyNumberFormat="1" applyFont="1" applyBorder="1" applyAlignment="1">
      <alignment horizontal="right" vertical="center" shrinkToFit="1"/>
    </xf>
    <xf numFmtId="187" fontId="12" fillId="0" borderId="21" xfId="8" applyNumberFormat="1" applyFont="1" applyBorder="1" applyAlignment="1">
      <alignment horizontal="right" vertical="center" shrinkToFit="1"/>
    </xf>
    <xf numFmtId="191" fontId="12" fillId="0" borderId="16" xfId="4" applyNumberFormat="1" applyFont="1" applyFill="1" applyBorder="1" applyAlignment="1">
      <alignment horizontal="right" shrinkToFit="1"/>
    </xf>
    <xf numFmtId="191" fontId="12" fillId="0" borderId="8" xfId="4" applyNumberFormat="1" applyFont="1" applyFill="1" applyBorder="1" applyAlignment="1">
      <alignment horizontal="right" shrinkToFit="1"/>
    </xf>
    <xf numFmtId="191" fontId="12" fillId="0" borderId="17" xfId="4" applyNumberFormat="1" applyFont="1" applyFill="1" applyBorder="1" applyAlignment="1">
      <alignment horizontal="right" shrinkToFit="1"/>
    </xf>
    <xf numFmtId="0" fontId="12" fillId="6" borderId="12" xfId="8" applyFont="1" applyFill="1" applyBorder="1" applyAlignment="1">
      <alignment horizontal="center" vertical="center" textRotation="255" shrinkToFit="1"/>
    </xf>
    <xf numFmtId="0" fontId="12" fillId="6" borderId="13" xfId="8" applyFont="1" applyFill="1" applyBorder="1" applyAlignment="1">
      <alignment horizontal="center" vertical="center" textRotation="255" shrinkToFit="1"/>
    </xf>
    <xf numFmtId="0" fontId="12" fillId="6" borderId="15" xfId="8" applyFont="1" applyFill="1" applyBorder="1" applyAlignment="1">
      <alignment horizontal="center" vertical="center" textRotation="255" shrinkToFit="1"/>
    </xf>
    <xf numFmtId="0" fontId="12" fillId="6" borderId="11" xfId="8" applyFont="1" applyFill="1" applyBorder="1" applyAlignment="1">
      <alignment horizontal="center" vertical="center" textRotation="255" shrinkToFit="1"/>
    </xf>
    <xf numFmtId="0" fontId="12" fillId="6" borderId="0" xfId="8" applyFont="1" applyFill="1" applyBorder="1" applyAlignment="1">
      <alignment horizontal="center" vertical="center" textRotation="255" shrinkToFit="1"/>
    </xf>
    <xf numFmtId="0" fontId="12" fillId="6" borderId="7" xfId="8" applyFont="1" applyFill="1" applyBorder="1" applyAlignment="1">
      <alignment horizontal="center" vertical="center" textRotation="255" shrinkToFit="1"/>
    </xf>
    <xf numFmtId="0" fontId="12" fillId="6" borderId="16" xfId="8" applyFont="1" applyFill="1" applyBorder="1" applyAlignment="1">
      <alignment horizontal="center" vertical="center" textRotation="255" shrinkToFit="1"/>
    </xf>
    <xf numFmtId="0" fontId="12" fillId="6" borderId="8" xfId="8" applyFont="1" applyFill="1" applyBorder="1" applyAlignment="1">
      <alignment horizontal="center" vertical="center" textRotation="255" shrinkToFit="1"/>
    </xf>
    <xf numFmtId="0" fontId="12" fillId="6" borderId="17" xfId="8" applyFont="1" applyFill="1" applyBorder="1" applyAlignment="1">
      <alignment horizontal="center" vertical="center" textRotation="255" shrinkToFit="1"/>
    </xf>
    <xf numFmtId="191" fontId="12" fillId="6" borderId="11" xfId="8" applyNumberFormat="1" applyFont="1" applyFill="1" applyBorder="1" applyAlignment="1">
      <alignment horizontal="center" vertical="center" shrinkToFit="1"/>
    </xf>
    <xf numFmtId="191" fontId="12" fillId="6" borderId="0" xfId="8" applyNumberFormat="1" applyFont="1" applyFill="1" applyBorder="1" applyAlignment="1">
      <alignment horizontal="center" vertical="center" shrinkToFit="1"/>
    </xf>
    <xf numFmtId="191" fontId="12" fillId="6" borderId="7" xfId="8" applyNumberFormat="1" applyFont="1" applyFill="1" applyBorder="1" applyAlignment="1">
      <alignment horizontal="center" vertical="center" shrinkToFit="1"/>
    </xf>
    <xf numFmtId="191" fontId="12" fillId="0" borderId="31" xfId="4" applyNumberFormat="1" applyFont="1" applyBorder="1" applyAlignment="1" applyProtection="1">
      <alignment horizontal="right" vertical="center" shrinkToFit="1"/>
    </xf>
    <xf numFmtId="191" fontId="12" fillId="0" borderId="32" xfId="4" applyNumberFormat="1" applyFont="1" applyBorder="1" applyAlignment="1" applyProtection="1">
      <alignment horizontal="right" vertical="center" shrinkToFit="1"/>
    </xf>
    <xf numFmtId="191" fontId="12" fillId="0" borderId="33" xfId="4" applyNumberFormat="1" applyFont="1" applyBorder="1" applyAlignment="1" applyProtection="1">
      <alignment horizontal="right" vertical="center" shrinkToFit="1"/>
    </xf>
    <xf numFmtId="186" fontId="12" fillId="6" borderId="12" xfId="8" applyNumberFormat="1" applyFont="1" applyFill="1" applyBorder="1" applyAlignment="1">
      <alignment horizontal="center" vertical="center" shrinkToFit="1"/>
    </xf>
    <xf numFmtId="186" fontId="12" fillId="6" borderId="13" xfId="8" applyNumberFormat="1" applyFont="1" applyFill="1" applyBorder="1" applyAlignment="1">
      <alignment horizontal="center" vertical="center" shrinkToFit="1"/>
    </xf>
    <xf numFmtId="186" fontId="12" fillId="6" borderId="15" xfId="8" applyNumberFormat="1" applyFont="1" applyFill="1" applyBorder="1" applyAlignment="1">
      <alignment horizontal="center" vertical="center" shrinkToFit="1"/>
    </xf>
    <xf numFmtId="191" fontId="12" fillId="6" borderId="12" xfId="8" applyNumberFormat="1" applyFont="1" applyFill="1" applyBorder="1" applyAlignment="1">
      <alignment horizontal="center" vertical="center" shrinkToFit="1"/>
    </xf>
    <xf numFmtId="191" fontId="12" fillId="6" borderId="13" xfId="8" applyNumberFormat="1" applyFont="1" applyFill="1" applyBorder="1" applyAlignment="1">
      <alignment horizontal="center" vertical="center" shrinkToFit="1"/>
    </xf>
    <xf numFmtId="191" fontId="12" fillId="6" borderId="15" xfId="8" applyNumberFormat="1" applyFont="1" applyFill="1" applyBorder="1" applyAlignment="1">
      <alignment horizontal="center" vertical="center" shrinkToFit="1"/>
    </xf>
    <xf numFmtId="0" fontId="12" fillId="0" borderId="11" xfId="8" applyFont="1" applyFill="1" applyBorder="1" applyAlignment="1">
      <alignment horizontal="center" vertical="center" shrinkToFit="1"/>
    </xf>
    <xf numFmtId="0" fontId="12" fillId="0" borderId="0" xfId="8" applyFont="1" applyFill="1" applyBorder="1" applyAlignment="1">
      <alignment horizontal="center" vertical="center" shrinkToFit="1"/>
    </xf>
    <xf numFmtId="186" fontId="12" fillId="6" borderId="16" xfId="8" applyNumberFormat="1" applyFont="1" applyFill="1" applyBorder="1" applyAlignment="1">
      <alignment horizontal="center" vertical="center" shrinkToFit="1"/>
    </xf>
    <xf numFmtId="186" fontId="12" fillId="6" borderId="8" xfId="8" applyNumberFormat="1" applyFont="1" applyFill="1" applyBorder="1" applyAlignment="1">
      <alignment horizontal="center" vertical="center" shrinkToFit="1"/>
    </xf>
    <xf numFmtId="186" fontId="12" fillId="6" borderId="17" xfId="8" applyNumberFormat="1" applyFont="1" applyFill="1" applyBorder="1" applyAlignment="1">
      <alignment horizontal="center" vertical="center" shrinkToFit="1"/>
    </xf>
    <xf numFmtId="183" fontId="12" fillId="0" borderId="11" xfId="8" applyNumberFormat="1" applyFont="1" applyFill="1" applyBorder="1" applyAlignment="1">
      <alignment horizontal="center" vertical="center" shrinkToFit="1"/>
    </xf>
    <xf numFmtId="183" fontId="12" fillId="0" borderId="0" xfId="8" applyNumberFormat="1" applyFont="1" applyFill="1" applyBorder="1" applyAlignment="1">
      <alignment horizontal="center" vertical="center" shrinkToFit="1"/>
    </xf>
    <xf numFmtId="191" fontId="12" fillId="0" borderId="34" xfId="4" applyNumberFormat="1" applyFont="1" applyBorder="1" applyAlignment="1">
      <alignment horizontal="right" vertical="center" shrinkToFit="1"/>
    </xf>
    <xf numFmtId="191" fontId="12" fillId="0" borderId="5" xfId="4" applyNumberFormat="1" applyFont="1" applyBorder="1" applyAlignment="1">
      <alignment horizontal="right" vertical="center" shrinkToFit="1"/>
    </xf>
    <xf numFmtId="191" fontId="12" fillId="0" borderId="35" xfId="4" applyNumberFormat="1" applyFont="1" applyBorder="1" applyAlignment="1">
      <alignment horizontal="right" vertical="center" shrinkToFit="1"/>
    </xf>
    <xf numFmtId="0" fontId="12" fillId="2" borderId="4" xfId="0" applyFont="1" applyFill="1" applyBorder="1" applyAlignment="1" applyProtection="1">
      <alignment horizontal="center" vertical="center" shrinkToFit="1"/>
      <protection locked="0"/>
    </xf>
    <xf numFmtId="0" fontId="12" fillId="2" borderId="5" xfId="0" applyFont="1" applyFill="1" applyBorder="1" applyAlignment="1" applyProtection="1">
      <alignment horizontal="center" vertical="center" shrinkToFit="1"/>
      <protection locked="0"/>
    </xf>
    <xf numFmtId="191" fontId="12" fillId="0" borderId="2" xfId="4" applyNumberFormat="1" applyFont="1" applyBorder="1" applyAlignment="1">
      <alignment horizontal="right" vertical="center" shrinkToFit="1"/>
    </xf>
    <xf numFmtId="176" fontId="12" fillId="0" borderId="4" xfId="6" applyNumberFormat="1" applyFont="1" applyBorder="1" applyAlignment="1" applyProtection="1">
      <alignment horizontal="right" vertical="center" shrinkToFit="1"/>
      <protection locked="0"/>
    </xf>
    <xf numFmtId="176" fontId="12" fillId="0" borderId="5" xfId="6" applyNumberFormat="1" applyFont="1" applyBorder="1" applyAlignment="1" applyProtection="1">
      <alignment horizontal="right" vertical="center" shrinkToFit="1"/>
      <protection locked="0"/>
    </xf>
    <xf numFmtId="176" fontId="12" fillId="0" borderId="6" xfId="6" applyNumberFormat="1" applyFont="1" applyBorder="1" applyAlignment="1" applyProtection="1">
      <alignment horizontal="right" vertical="center" shrinkToFit="1"/>
      <protection locked="0"/>
    </xf>
    <xf numFmtId="187" fontId="12" fillId="0" borderId="4" xfId="8" applyNumberFormat="1" applyFont="1" applyBorder="1" applyAlignment="1">
      <alignment horizontal="right" vertical="center" shrinkToFit="1"/>
    </xf>
    <xf numFmtId="187" fontId="12" fillId="0" borderId="5" xfId="8" applyNumberFormat="1" applyFont="1" applyBorder="1" applyAlignment="1">
      <alignment horizontal="right" vertical="center" shrinkToFit="1"/>
    </xf>
    <xf numFmtId="187" fontId="12" fillId="0" borderId="6" xfId="8" applyNumberFormat="1" applyFont="1" applyBorder="1" applyAlignment="1">
      <alignment horizontal="right" vertical="center" shrinkToFit="1"/>
    </xf>
    <xf numFmtId="186" fontId="12" fillId="2" borderId="12" xfId="4" applyNumberFormat="1" applyFont="1" applyFill="1" applyBorder="1" applyAlignment="1" applyProtection="1">
      <alignment horizontal="right" shrinkToFit="1"/>
      <protection locked="0"/>
    </xf>
    <xf numFmtId="186" fontId="12" fillId="2" borderId="13" xfId="4" applyNumberFormat="1" applyFont="1" applyFill="1" applyBorder="1" applyAlignment="1" applyProtection="1">
      <alignment horizontal="right" shrinkToFit="1"/>
      <protection locked="0"/>
    </xf>
    <xf numFmtId="191" fontId="12" fillId="0" borderId="49" xfId="4" applyNumberFormat="1" applyFont="1" applyBorder="1" applyAlignment="1">
      <alignment horizontal="right" vertical="center" shrinkToFit="1"/>
    </xf>
    <xf numFmtId="191" fontId="12" fillId="0" borderId="46" xfId="4" applyNumberFormat="1" applyFont="1" applyBorder="1" applyAlignment="1">
      <alignment horizontal="right" vertical="center" shrinkToFit="1"/>
    </xf>
    <xf numFmtId="191" fontId="12" fillId="0" borderId="50" xfId="4" applyNumberFormat="1" applyFont="1" applyBorder="1" applyAlignment="1">
      <alignment horizontal="right" vertical="center" shrinkToFit="1"/>
    </xf>
    <xf numFmtId="191" fontId="12" fillId="0" borderId="1" xfId="4" applyNumberFormat="1" applyFont="1" applyBorder="1" applyAlignment="1">
      <alignment horizontal="right" vertical="center" shrinkToFit="1"/>
    </xf>
    <xf numFmtId="186" fontId="12" fillId="2" borderId="4" xfId="4" applyNumberFormat="1" applyFont="1" applyFill="1" applyBorder="1" applyAlignment="1" applyProtection="1">
      <alignment horizontal="right" shrinkToFit="1"/>
      <protection locked="0"/>
    </xf>
    <xf numFmtId="186" fontId="12" fillId="2" borderId="5" xfId="4" applyNumberFormat="1" applyFont="1" applyFill="1" applyBorder="1" applyAlignment="1" applyProtection="1">
      <alignment horizontal="right" shrinkToFit="1"/>
      <protection locked="0"/>
    </xf>
    <xf numFmtId="180" fontId="12" fillId="6" borderId="12" xfId="8" applyNumberFormat="1" applyFont="1" applyFill="1" applyBorder="1" applyAlignment="1">
      <alignment horizontal="center" vertical="center" wrapText="1" shrinkToFit="1"/>
    </xf>
    <xf numFmtId="180" fontId="12" fillId="6" borderId="13" xfId="8" applyNumberFormat="1" applyFont="1" applyFill="1" applyBorder="1" applyAlignment="1">
      <alignment horizontal="center" vertical="center" shrinkToFit="1"/>
    </xf>
    <xf numFmtId="180" fontId="12" fillId="6" borderId="15" xfId="8" applyNumberFormat="1" applyFont="1" applyFill="1" applyBorder="1" applyAlignment="1">
      <alignment horizontal="center" vertical="center" shrinkToFit="1"/>
    </xf>
    <xf numFmtId="0" fontId="12" fillId="6" borderId="12" xfId="8" applyFont="1" applyFill="1" applyBorder="1" applyAlignment="1">
      <alignment horizontal="center" vertical="center" wrapText="1" shrinkToFit="1"/>
    </xf>
    <xf numFmtId="191" fontId="12" fillId="0" borderId="31" xfId="4" applyNumberFormat="1" applyFont="1" applyBorder="1" applyAlignment="1">
      <alignment horizontal="right" vertical="center" shrinkToFit="1"/>
    </xf>
    <xf numFmtId="191" fontId="12" fillId="0" borderId="32" xfId="4" applyNumberFormat="1" applyFont="1" applyBorder="1" applyAlignment="1">
      <alignment horizontal="right" vertical="center" shrinkToFit="1"/>
    </xf>
    <xf numFmtId="191" fontId="12" fillId="0" borderId="33" xfId="4" applyNumberFormat="1" applyFont="1" applyBorder="1" applyAlignment="1">
      <alignment horizontal="right" vertical="center" shrinkToFit="1"/>
    </xf>
    <xf numFmtId="0" fontId="12" fillId="6" borderId="1" xfId="8" applyFont="1" applyFill="1" applyBorder="1" applyAlignment="1">
      <alignment horizontal="center" vertical="center" shrinkToFit="1"/>
    </xf>
    <xf numFmtId="1" fontId="12" fillId="2" borderId="26" xfId="8" applyNumberFormat="1" applyFont="1" applyFill="1" applyBorder="1" applyAlignment="1" applyProtection="1">
      <alignment horizontal="center" vertical="center" shrinkToFit="1"/>
      <protection locked="0"/>
    </xf>
    <xf numFmtId="1" fontId="12" fillId="2" borderId="27" xfId="8" applyNumberFormat="1" applyFont="1" applyFill="1" applyBorder="1" applyAlignment="1" applyProtection="1">
      <alignment horizontal="center" vertical="center" shrinkToFit="1"/>
      <protection locked="0"/>
    </xf>
    <xf numFmtId="0" fontId="12" fillId="0" borderId="27" xfId="8" applyFont="1" applyFill="1" applyBorder="1" applyAlignment="1">
      <alignment horizontal="center" vertical="center" shrinkToFit="1"/>
    </xf>
    <xf numFmtId="0" fontId="12" fillId="0" borderId="28" xfId="8" applyFont="1" applyFill="1" applyBorder="1" applyAlignment="1">
      <alignment horizontal="center" vertical="center" shrinkToFit="1"/>
    </xf>
    <xf numFmtId="180" fontId="12" fillId="6" borderId="16" xfId="8" applyNumberFormat="1" applyFont="1" applyFill="1" applyBorder="1" applyAlignment="1">
      <alignment horizontal="center" vertical="center" shrinkToFit="1"/>
    </xf>
    <xf numFmtId="180" fontId="12" fillId="6" borderId="8" xfId="8" applyNumberFormat="1" applyFont="1" applyFill="1" applyBorder="1" applyAlignment="1">
      <alignment horizontal="center" vertical="center" shrinkToFit="1"/>
    </xf>
    <xf numFmtId="180" fontId="12" fillId="6" borderId="17" xfId="8" applyNumberFormat="1" applyFont="1" applyFill="1" applyBorder="1" applyAlignment="1">
      <alignment horizontal="center" vertical="center" shrinkToFit="1"/>
    </xf>
    <xf numFmtId="0" fontId="12" fillId="2" borderId="1" xfId="8" applyFont="1" applyFill="1" applyBorder="1" applyAlignment="1" applyProtection="1">
      <alignment horizontal="left" vertical="center" shrinkToFit="1"/>
      <protection locked="0"/>
    </xf>
    <xf numFmtId="0" fontId="17" fillId="6" borderId="5" xfId="8" applyFont="1" applyFill="1" applyBorder="1" applyAlignment="1">
      <alignment horizontal="center" vertical="center" wrapText="1" shrinkToFit="1"/>
    </xf>
    <xf numFmtId="1" fontId="12" fillId="2" borderId="4" xfId="8" applyNumberFormat="1" applyFont="1" applyFill="1" applyBorder="1" applyAlignment="1" applyProtection="1">
      <alignment horizontal="left" vertical="center" shrinkToFit="1"/>
      <protection locked="0"/>
    </xf>
    <xf numFmtId="1" fontId="12" fillId="2" borderId="5" xfId="8" applyNumberFormat="1" applyFont="1" applyFill="1" applyBorder="1" applyAlignment="1" applyProtection="1">
      <alignment horizontal="left" vertical="center" shrinkToFit="1"/>
      <protection locked="0"/>
    </xf>
    <xf numFmtId="1" fontId="12" fillId="2" borderId="6" xfId="8" applyNumberFormat="1" applyFont="1" applyFill="1" applyBorder="1" applyAlignment="1" applyProtection="1">
      <alignment horizontal="left" vertical="center" shrinkToFit="1"/>
      <protection locked="0"/>
    </xf>
    <xf numFmtId="0" fontId="33" fillId="6" borderId="6" xfId="8" applyFont="1" applyFill="1" applyBorder="1" applyAlignment="1">
      <alignment horizontal="center" vertical="center" wrapText="1" shrinkToFit="1"/>
    </xf>
    <xf numFmtId="0" fontId="33" fillId="6" borderId="1" xfId="8" applyFont="1" applyFill="1" applyBorder="1" applyAlignment="1">
      <alignment horizontal="center" vertical="center" shrinkToFit="1"/>
    </xf>
    <xf numFmtId="179" fontId="12" fillId="2" borderId="1" xfId="8" applyNumberFormat="1" applyFont="1" applyFill="1" applyBorder="1" applyAlignment="1" applyProtection="1">
      <alignment horizontal="left" vertical="center" shrinkToFit="1"/>
      <protection locked="0"/>
    </xf>
    <xf numFmtId="183" fontId="12" fillId="6" borderId="16" xfId="8" applyNumberFormat="1" applyFont="1" applyFill="1" applyBorder="1" applyAlignment="1">
      <alignment horizontal="center" vertical="center" shrinkToFit="1"/>
    </xf>
    <xf numFmtId="183" fontId="12" fillId="6" borderId="8" xfId="8" applyNumberFormat="1" applyFont="1" applyFill="1" applyBorder="1" applyAlignment="1">
      <alignment horizontal="center" vertical="center" shrinkToFit="1"/>
    </xf>
    <xf numFmtId="183" fontId="12" fillId="6" borderId="17" xfId="8" applyNumberFormat="1" applyFont="1" applyFill="1" applyBorder="1" applyAlignment="1">
      <alignment horizontal="center" vertical="center" shrinkToFit="1"/>
    </xf>
    <xf numFmtId="0" fontId="12" fillId="6" borderId="11" xfId="8" applyFont="1" applyFill="1" applyBorder="1" applyAlignment="1">
      <alignment horizontal="center" vertical="center" shrinkToFit="1"/>
    </xf>
    <xf numFmtId="0" fontId="12" fillId="6" borderId="0" xfId="8" applyFont="1" applyFill="1" applyBorder="1" applyAlignment="1">
      <alignment horizontal="center" vertical="center" shrinkToFit="1"/>
    </xf>
    <xf numFmtId="0" fontId="12" fillId="6" borderId="7" xfId="8" applyFont="1" applyFill="1" applyBorder="1" applyAlignment="1">
      <alignment horizontal="center" vertical="center" shrinkToFit="1"/>
    </xf>
    <xf numFmtId="0" fontId="35" fillId="0" borderId="0" xfId="8" applyFont="1" applyAlignment="1">
      <alignment horizontal="left" vertical="center"/>
    </xf>
    <xf numFmtId="0" fontId="12" fillId="2" borderId="4" xfId="8" applyFont="1" applyFill="1" applyBorder="1" applyAlignment="1">
      <alignment horizontal="center" vertical="center"/>
    </xf>
    <xf numFmtId="0" fontId="12" fillId="2" borderId="5" xfId="8" applyFont="1" applyFill="1" applyBorder="1" applyAlignment="1">
      <alignment horizontal="center" vertical="center"/>
    </xf>
    <xf numFmtId="0" fontId="12" fillId="2" borderId="6" xfId="8" applyFont="1" applyFill="1" applyBorder="1" applyAlignment="1">
      <alignment horizontal="center" vertical="center"/>
    </xf>
    <xf numFmtId="0" fontId="12" fillId="0" borderId="11" xfId="8" applyFont="1" applyBorder="1" applyAlignment="1">
      <alignment horizontal="left" vertical="center"/>
    </xf>
    <xf numFmtId="0" fontId="12" fillId="0" borderId="0" xfId="8" applyFont="1" applyAlignment="1">
      <alignment horizontal="left" vertical="center"/>
    </xf>
    <xf numFmtId="0" fontId="26" fillId="6" borderId="4" xfId="8" applyFont="1" applyFill="1" applyBorder="1" applyAlignment="1">
      <alignment horizontal="center" vertical="center" shrinkToFit="1"/>
    </xf>
    <xf numFmtId="0" fontId="26" fillId="6" borderId="5" xfId="8" applyFont="1" applyFill="1" applyBorder="1" applyAlignment="1">
      <alignment horizontal="center" vertical="center" shrinkToFit="1"/>
    </xf>
    <xf numFmtId="0" fontId="26" fillId="6" borderId="6" xfId="8" applyFont="1" applyFill="1" applyBorder="1" applyAlignment="1">
      <alignment horizontal="center" vertical="center" shrinkToFit="1"/>
    </xf>
    <xf numFmtId="188" fontId="37" fillId="0" borderId="39" xfId="8" applyNumberFormat="1" applyFont="1" applyFill="1" applyBorder="1" applyAlignment="1">
      <alignment horizontal="left" vertical="center" wrapText="1" shrinkToFit="1"/>
    </xf>
    <xf numFmtId="188" fontId="37" fillId="0" borderId="0" xfId="8" applyNumberFormat="1" applyFont="1" applyFill="1" applyBorder="1" applyAlignment="1">
      <alignment horizontal="left" vertical="center" wrapText="1" shrinkToFit="1"/>
    </xf>
    <xf numFmtId="188" fontId="41" fillId="0" borderId="0" xfId="8" applyNumberFormat="1" applyFont="1" applyBorder="1" applyAlignment="1" applyProtection="1">
      <alignment horizontal="left" vertical="center" wrapText="1" shrinkToFit="1"/>
      <protection hidden="1"/>
    </xf>
    <xf numFmtId="188" fontId="26" fillId="0" borderId="0" xfId="8" applyNumberFormat="1" applyFont="1" applyBorder="1" applyAlignment="1" applyProtection="1">
      <alignment horizontal="left" vertical="center" shrinkToFit="1"/>
      <protection hidden="1"/>
    </xf>
    <xf numFmtId="0" fontId="31" fillId="0" borderId="0" xfId="8" applyFont="1" applyFill="1" applyBorder="1" applyAlignment="1">
      <alignment horizontal="left" vertical="center" wrapText="1" shrinkToFit="1"/>
    </xf>
    <xf numFmtId="197" fontId="12" fillId="2" borderId="4" xfId="8" applyNumberFormat="1" applyFont="1" applyFill="1" applyBorder="1" applyAlignment="1" applyProtection="1">
      <alignment horizontal="center" vertical="center" shrinkToFit="1"/>
      <protection locked="0"/>
    </xf>
    <xf numFmtId="197" fontId="12" fillId="2" borderId="5" xfId="8" applyNumberFormat="1" applyFont="1" applyFill="1" applyBorder="1" applyAlignment="1" applyProtection="1">
      <alignment horizontal="center" vertical="center" shrinkToFit="1"/>
      <protection locked="0"/>
    </xf>
    <xf numFmtId="181" fontId="12" fillId="0" borderId="28" xfId="8" applyNumberFormat="1" applyFont="1" applyFill="1" applyBorder="1" applyAlignment="1" applyProtection="1">
      <alignment horizontal="center" vertical="center" shrinkToFit="1"/>
      <protection locked="0"/>
    </xf>
    <xf numFmtId="181" fontId="12" fillId="0" borderId="1" xfId="8" applyNumberFormat="1" applyFont="1" applyFill="1" applyBorder="1" applyAlignment="1" applyProtection="1">
      <alignment horizontal="center" vertical="center" shrinkToFit="1"/>
      <protection locked="0"/>
    </xf>
    <xf numFmtId="0" fontId="19" fillId="6" borderId="4" xfId="8" applyFont="1" applyFill="1" applyBorder="1" applyAlignment="1">
      <alignment horizontal="center" vertical="center" wrapText="1" shrinkToFit="1"/>
    </xf>
    <xf numFmtId="0" fontId="19" fillId="6" borderId="5" xfId="8" applyFont="1" applyFill="1" applyBorder="1" applyAlignment="1">
      <alignment horizontal="center" vertical="center" wrapText="1" shrinkToFit="1"/>
    </xf>
    <xf numFmtId="0" fontId="29" fillId="0" borderId="0" xfId="8" applyFont="1" applyAlignment="1">
      <alignment horizontal="center" vertical="center"/>
    </xf>
    <xf numFmtId="190" fontId="12" fillId="0" borderId="0" xfId="4" applyNumberFormat="1" applyFont="1" applyFill="1" applyBorder="1" applyAlignment="1">
      <alignment vertical="center" shrinkToFit="1"/>
    </xf>
    <xf numFmtId="186" fontId="12" fillId="0" borderId="4" xfId="4" applyNumberFormat="1" applyFont="1" applyFill="1" applyBorder="1" applyAlignment="1">
      <alignment horizontal="right" shrinkToFit="1"/>
    </xf>
    <xf numFmtId="186" fontId="12" fillId="0" borderId="5" xfId="4" applyNumberFormat="1" applyFont="1" applyFill="1" applyBorder="1" applyAlignment="1">
      <alignment horizontal="right" shrinkToFit="1"/>
    </xf>
    <xf numFmtId="189" fontId="12" fillId="0" borderId="43" xfId="4" applyNumberFormat="1" applyFont="1" applyBorder="1" applyAlignment="1">
      <alignment horizontal="right" vertical="center" shrinkToFit="1"/>
    </xf>
    <xf numFmtId="189" fontId="12" fillId="0" borderId="5" xfId="4" applyNumberFormat="1" applyFont="1" applyBorder="1" applyAlignment="1">
      <alignment horizontal="right" vertical="center" shrinkToFit="1"/>
    </xf>
    <xf numFmtId="189" fontId="12" fillId="0" borderId="44" xfId="4" applyNumberFormat="1" applyFont="1" applyBorder="1" applyAlignment="1">
      <alignment horizontal="right" vertical="center" shrinkToFit="1"/>
    </xf>
    <xf numFmtId="0" fontId="12" fillId="0" borderId="4" xfId="0" applyFont="1" applyFill="1" applyBorder="1" applyAlignment="1">
      <alignment horizontal="center" vertical="center" shrinkToFit="1"/>
    </xf>
    <xf numFmtId="0" fontId="12" fillId="0" borderId="5" xfId="0" applyFont="1" applyFill="1" applyBorder="1" applyAlignment="1">
      <alignment horizontal="center" vertical="center" shrinkToFit="1"/>
    </xf>
    <xf numFmtId="191" fontId="12" fillId="0" borderId="4" xfId="8" applyNumberFormat="1" applyFont="1" applyBorder="1" applyAlignment="1">
      <alignment horizontal="right" vertical="center" shrinkToFit="1"/>
    </xf>
    <xf numFmtId="191" fontId="12" fillId="0" borderId="5" xfId="8" applyNumberFormat="1" applyFont="1" applyBorder="1" applyAlignment="1">
      <alignment horizontal="right" vertical="center" shrinkToFit="1"/>
    </xf>
    <xf numFmtId="191" fontId="12" fillId="0" borderId="6" xfId="8" applyNumberFormat="1" applyFont="1" applyBorder="1" applyAlignment="1">
      <alignment horizontal="right" vertical="center" shrinkToFit="1"/>
    </xf>
    <xf numFmtId="0" fontId="12" fillId="0" borderId="21" xfId="8" applyFont="1" applyBorder="1" applyAlignment="1">
      <alignment horizontal="center" vertical="center" shrinkToFit="1"/>
    </xf>
    <xf numFmtId="186" fontId="12" fillId="0" borderId="19" xfId="4" applyNumberFormat="1" applyFont="1" applyFill="1" applyBorder="1" applyAlignment="1">
      <alignment horizontal="right" shrinkToFit="1"/>
    </xf>
    <xf numFmtId="186" fontId="12" fillId="0" borderId="20" xfId="4" applyNumberFormat="1" applyFont="1" applyFill="1" applyBorder="1" applyAlignment="1">
      <alignment horizontal="right" shrinkToFit="1"/>
    </xf>
    <xf numFmtId="186" fontId="12" fillId="0" borderId="21" xfId="4" applyNumberFormat="1" applyFont="1" applyFill="1" applyBorder="1" applyAlignment="1">
      <alignment horizontal="right" shrinkToFit="1"/>
    </xf>
    <xf numFmtId="0" fontId="12" fillId="0" borderId="4" xfId="0" applyFont="1" applyFill="1" applyBorder="1" applyAlignment="1" applyProtection="1">
      <alignment horizontal="center" vertical="center" shrinkToFit="1"/>
      <protection locked="0"/>
    </xf>
    <xf numFmtId="0" fontId="12" fillId="0" borderId="5" xfId="0" applyFont="1" applyFill="1" applyBorder="1" applyAlignment="1" applyProtection="1">
      <alignment horizontal="center" vertical="center" shrinkToFit="1"/>
      <protection locked="0"/>
    </xf>
    <xf numFmtId="186" fontId="12" fillId="0" borderId="19" xfId="8" applyNumberFormat="1" applyFont="1" applyBorder="1" applyAlignment="1">
      <alignment horizontal="right" vertical="center" shrinkToFit="1"/>
    </xf>
    <xf numFmtId="186" fontId="12" fillId="0" borderId="20" xfId="8" applyNumberFormat="1" applyFont="1" applyBorder="1" applyAlignment="1">
      <alignment horizontal="right" vertical="center" shrinkToFit="1"/>
    </xf>
    <xf numFmtId="186" fontId="12" fillId="0" borderId="21" xfId="8" applyNumberFormat="1" applyFont="1" applyBorder="1" applyAlignment="1">
      <alignment horizontal="right" vertical="center" shrinkToFit="1"/>
    </xf>
    <xf numFmtId="189" fontId="12" fillId="0" borderId="16" xfId="4" applyNumberFormat="1" applyFont="1" applyBorder="1" applyAlignment="1">
      <alignment horizontal="right" vertical="center" shrinkToFit="1"/>
    </xf>
    <xf numFmtId="189" fontId="12" fillId="0" borderId="8" xfId="4" applyNumberFormat="1" applyFont="1" applyBorder="1" applyAlignment="1">
      <alignment horizontal="right" vertical="center" shrinkToFit="1"/>
    </xf>
    <xf numFmtId="186" fontId="12" fillId="0" borderId="12" xfId="4" applyNumberFormat="1" applyFont="1" applyFill="1" applyBorder="1" applyAlignment="1">
      <alignment horizontal="right" shrinkToFit="1"/>
    </xf>
    <xf numFmtId="186" fontId="12" fillId="0" borderId="13" xfId="4" applyNumberFormat="1" applyFont="1" applyFill="1" applyBorder="1" applyAlignment="1">
      <alignment horizontal="right" shrinkToFit="1"/>
    </xf>
    <xf numFmtId="189" fontId="12" fillId="0" borderId="45" xfId="4" applyNumberFormat="1" applyFont="1" applyBorder="1" applyAlignment="1">
      <alignment horizontal="right" vertical="center" shrinkToFit="1"/>
    </xf>
    <xf numFmtId="189" fontId="12" fillId="0" borderId="46" xfId="4" applyNumberFormat="1" applyFont="1" applyBorder="1" applyAlignment="1">
      <alignment horizontal="right" vertical="center" shrinkToFit="1"/>
    </xf>
    <xf numFmtId="189" fontId="12" fillId="0" borderId="47" xfId="4" applyNumberFormat="1" applyFont="1" applyBorder="1" applyAlignment="1">
      <alignment horizontal="right" vertical="center" shrinkToFit="1"/>
    </xf>
    <xf numFmtId="189" fontId="12" fillId="0" borderId="40" xfId="4" applyNumberFormat="1" applyFont="1" applyBorder="1" applyAlignment="1">
      <alignment horizontal="right" vertical="center" shrinkToFit="1"/>
    </xf>
    <xf numFmtId="189" fontId="12" fillId="0" borderId="41" xfId="4" applyNumberFormat="1" applyFont="1" applyBorder="1" applyAlignment="1">
      <alignment horizontal="right" vertical="center" shrinkToFit="1"/>
    </xf>
    <xf numFmtId="189" fontId="12" fillId="0" borderId="42" xfId="4" applyNumberFormat="1" applyFont="1" applyBorder="1" applyAlignment="1">
      <alignment horizontal="right" vertical="center" shrinkToFit="1"/>
    </xf>
    <xf numFmtId="186" fontId="12" fillId="6" borderId="12" xfId="8" applyNumberFormat="1" applyFont="1" applyFill="1" applyBorder="1" applyAlignment="1">
      <alignment horizontal="center" vertical="center" wrapText="1" shrinkToFit="1"/>
    </xf>
    <xf numFmtId="0" fontId="12" fillId="6" borderId="22" xfId="8" applyFont="1" applyFill="1" applyBorder="1" applyAlignment="1">
      <alignment horizontal="center" vertical="center" shrinkToFit="1"/>
    </xf>
    <xf numFmtId="0" fontId="12" fillId="6" borderId="23" xfId="8" applyFont="1" applyFill="1" applyBorder="1" applyAlignment="1">
      <alignment horizontal="center" vertical="center" shrinkToFit="1"/>
    </xf>
    <xf numFmtId="0" fontId="12" fillId="0" borderId="22" xfId="8" applyFont="1" applyBorder="1" applyAlignment="1">
      <alignment horizontal="center" vertical="center" shrinkToFit="1"/>
    </xf>
    <xf numFmtId="0" fontId="12" fillId="0" borderId="23" xfId="8" applyFont="1" applyBorder="1" applyAlignment="1">
      <alignment horizontal="center" vertical="center" shrinkToFit="1"/>
    </xf>
    <xf numFmtId="0" fontId="12" fillId="0" borderId="24" xfId="8" applyFont="1" applyBorder="1" applyAlignment="1">
      <alignment horizontal="center" vertical="center" shrinkToFit="1"/>
    </xf>
    <xf numFmtId="0" fontId="12" fillId="0" borderId="22" xfId="8" applyFont="1" applyBorder="1" applyAlignment="1">
      <alignment horizontal="right" vertical="center" shrinkToFit="1"/>
    </xf>
    <xf numFmtId="0" fontId="12" fillId="0" borderId="23" xfId="8" applyFont="1" applyBorder="1" applyAlignment="1">
      <alignment horizontal="right" vertical="center" shrinkToFit="1"/>
    </xf>
    <xf numFmtId="0" fontId="12" fillId="0" borderId="24" xfId="8" applyFont="1" applyBorder="1" applyAlignment="1">
      <alignment horizontal="right" vertical="center" shrinkToFit="1"/>
    </xf>
    <xf numFmtId="187" fontId="12" fillId="0" borderId="22" xfId="8" applyNumberFormat="1" applyFont="1" applyBorder="1" applyAlignment="1">
      <alignment horizontal="right" vertical="center" shrinkToFit="1"/>
    </xf>
    <xf numFmtId="187" fontId="12" fillId="0" borderId="23" xfId="8" applyNumberFormat="1" applyFont="1" applyBorder="1" applyAlignment="1">
      <alignment horizontal="right" vertical="center" shrinkToFit="1"/>
    </xf>
    <xf numFmtId="187" fontId="12" fillId="0" borderId="24" xfId="8" applyNumberFormat="1" applyFont="1" applyBorder="1" applyAlignment="1">
      <alignment horizontal="right" vertical="center" shrinkToFit="1"/>
    </xf>
    <xf numFmtId="186" fontId="12" fillId="0" borderId="0" xfId="8" applyNumberFormat="1" applyFont="1" applyBorder="1" applyAlignment="1">
      <alignment horizontal="right" vertical="center" shrinkToFit="1"/>
    </xf>
    <xf numFmtId="186" fontId="12" fillId="0" borderId="7" xfId="8" applyNumberFormat="1" applyFont="1" applyBorder="1" applyAlignment="1">
      <alignment horizontal="right" vertical="center" shrinkToFit="1"/>
    </xf>
    <xf numFmtId="189" fontId="12" fillId="0" borderId="11" xfId="4" applyNumberFormat="1" applyFont="1" applyFill="1" applyBorder="1" applyAlignment="1">
      <alignment horizontal="right" vertical="center" shrinkToFit="1"/>
    </xf>
    <xf numFmtId="189" fontId="12" fillId="0" borderId="0" xfId="4" applyNumberFormat="1" applyFont="1" applyFill="1" applyBorder="1" applyAlignment="1">
      <alignment horizontal="right" vertical="center" shrinkToFit="1"/>
    </xf>
    <xf numFmtId="186" fontId="12" fillId="4" borderId="14" xfId="4" applyNumberFormat="1" applyFont="1" applyFill="1" applyBorder="1" applyAlignment="1" applyProtection="1">
      <alignment horizontal="right" vertical="center" shrinkToFit="1"/>
      <protection locked="0"/>
    </xf>
    <xf numFmtId="186" fontId="12" fillId="4" borderId="18" xfId="4" applyNumberFormat="1" applyFont="1" applyFill="1" applyBorder="1" applyAlignment="1" applyProtection="1">
      <alignment horizontal="right" vertical="center" shrinkToFit="1"/>
      <protection locked="0"/>
    </xf>
    <xf numFmtId="186" fontId="12" fillId="4" borderId="4" xfId="4" applyNumberFormat="1" applyFont="1" applyFill="1" applyBorder="1" applyAlignment="1" applyProtection="1">
      <alignment horizontal="right" vertical="center" shrinkToFit="1"/>
      <protection locked="0"/>
    </xf>
    <xf numFmtId="186" fontId="12" fillId="4" borderId="5" xfId="4" applyNumberFormat="1" applyFont="1" applyFill="1" applyBorder="1" applyAlignment="1" applyProtection="1">
      <alignment horizontal="right" vertical="center" shrinkToFit="1"/>
      <protection locked="0"/>
    </xf>
    <xf numFmtId="0" fontId="12" fillId="6" borderId="13" xfId="8" applyFont="1" applyFill="1" applyBorder="1" applyAlignment="1">
      <alignment horizontal="center" vertical="center" wrapText="1" shrinkToFit="1"/>
    </xf>
    <xf numFmtId="0" fontId="12" fillId="6" borderId="15" xfId="8" applyFont="1" applyFill="1" applyBorder="1" applyAlignment="1">
      <alignment horizontal="center" vertical="center" wrapText="1" shrinkToFit="1"/>
    </xf>
    <xf numFmtId="0" fontId="12" fillId="4" borderId="4" xfId="8" applyFont="1" applyFill="1" applyBorder="1" applyAlignment="1" applyProtection="1">
      <alignment horizontal="left" vertical="center" shrinkToFit="1"/>
    </xf>
    <xf numFmtId="0" fontId="12" fillId="4" borderId="5" xfId="8" applyFont="1" applyFill="1" applyBorder="1" applyAlignment="1" applyProtection="1">
      <alignment horizontal="left" vertical="center" shrinkToFit="1"/>
    </xf>
    <xf numFmtId="0" fontId="12" fillId="4" borderId="6" xfId="8" applyFont="1" applyFill="1" applyBorder="1" applyAlignment="1" applyProtection="1">
      <alignment horizontal="left" vertical="center" shrinkToFit="1"/>
    </xf>
    <xf numFmtId="0" fontId="12" fillId="4" borderId="27" xfId="8" applyFont="1" applyFill="1" applyBorder="1" applyAlignment="1">
      <alignment horizontal="center" vertical="center" shrinkToFit="1"/>
    </xf>
    <xf numFmtId="0" fontId="12" fillId="4" borderId="28" xfId="8" applyFont="1" applyFill="1" applyBorder="1" applyAlignment="1">
      <alignment horizontal="center" vertical="center" shrinkToFit="1"/>
    </xf>
    <xf numFmtId="0" fontId="12" fillId="6" borderId="1" xfId="8" applyFont="1" applyFill="1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179" fontId="12" fillId="0" borderId="4" xfId="8" applyNumberFormat="1" applyFont="1" applyFill="1" applyBorder="1" applyAlignment="1" applyProtection="1">
      <alignment horizontal="left" vertical="center" shrinkToFit="1"/>
    </xf>
    <xf numFmtId="179" fontId="12" fillId="0" borderId="5" xfId="8" applyNumberFormat="1" applyFont="1" applyFill="1" applyBorder="1" applyAlignment="1" applyProtection="1">
      <alignment horizontal="left" vertical="center" shrinkToFit="1"/>
    </xf>
    <xf numFmtId="181" fontId="12" fillId="0" borderId="48" xfId="8" applyNumberFormat="1" applyFont="1" applyFill="1" applyBorder="1" applyAlignment="1" applyProtection="1">
      <alignment horizontal="center" vertical="center" shrinkToFit="1"/>
    </xf>
    <xf numFmtId="181" fontId="12" fillId="0" borderId="5" xfId="8" applyNumberFormat="1" applyFont="1" applyFill="1" applyBorder="1" applyAlignment="1" applyProtection="1">
      <alignment horizontal="center" vertical="center" shrinkToFit="1"/>
    </xf>
    <xf numFmtId="181" fontId="12" fillId="0" borderId="6" xfId="8" applyNumberFormat="1" applyFont="1" applyFill="1" applyBorder="1" applyAlignment="1" applyProtection="1">
      <alignment horizontal="center" vertical="center" shrinkToFit="1"/>
    </xf>
  </cellXfs>
  <cellStyles count="168">
    <cellStyle name="Excel Built-in Comma [0] 1" xfId="23"/>
    <cellStyle name="Excel Built-in Currency [0] 1" xfId="24"/>
    <cellStyle name="Excel Built-in Normal" xfId="25"/>
    <cellStyle name="Excel Built-in Normal 1" xfId="26"/>
    <cellStyle name="Excel Built-in Normal 1 2" xfId="27"/>
    <cellStyle name="Excel Built-in Normal 2" xfId="28"/>
    <cellStyle name="パーセント" xfId="6" builtinId="5"/>
    <cellStyle name="パーセント 2" xfId="9"/>
    <cellStyle name="パーセント 3" xfId="29"/>
    <cellStyle name="パーセント 3 2" xfId="56"/>
    <cellStyle name="パーセント 3 3" xfId="64"/>
    <cellStyle name="パーセント 3 3 2" xfId="145"/>
    <cellStyle name="パーセント 3 4" xfId="129"/>
    <cellStyle name="パーセント 3 5" xfId="97"/>
    <cellStyle name="パーセント 3 6" xfId="45"/>
    <cellStyle name="パーセント 4" xfId="52"/>
    <cellStyle name="パーセント 4 2" xfId="68"/>
    <cellStyle name="パーセント 4 2 2" xfId="149"/>
    <cellStyle name="パーセント 4 3" xfId="133"/>
    <cellStyle name="パーセント 4 4" xfId="100"/>
    <cellStyle name="パーセント 5" xfId="77"/>
    <cellStyle name="パーセント 5 2" xfId="158"/>
    <cellStyle name="パーセント 5 3" xfId="108"/>
    <cellStyle name="パーセント 6" xfId="86"/>
    <cellStyle name="パーセント 6 2" xfId="167"/>
    <cellStyle name="パーセント 6 3" xfId="117"/>
    <cellStyle name="パーセント 7" xfId="89"/>
    <cellStyle name="パーセント 8" xfId="47"/>
    <cellStyle name="ハイパーリンク 2" xfId="10"/>
    <cellStyle name="ハイパーリンク 2 2" xfId="37"/>
    <cellStyle name="桁区切り" xfId="4" builtinId="6"/>
    <cellStyle name="桁区切り 2" xfId="2"/>
    <cellStyle name="桁区切り 2 2" xfId="30"/>
    <cellStyle name="桁区切り 2 3" xfId="50"/>
    <cellStyle name="桁区切り 2 4" xfId="40"/>
    <cellStyle name="桁区切り 3" xfId="11"/>
    <cellStyle name="桁区切り 4" xfId="31"/>
    <cellStyle name="桁区切り 4 2" xfId="57"/>
    <cellStyle name="桁区切り 4 2 2" xfId="72"/>
    <cellStyle name="桁区切り 4 2 2 2" xfId="153"/>
    <cellStyle name="桁区切り 4 2 3" xfId="137"/>
    <cellStyle name="桁区切り 4 2 4" xfId="104"/>
    <cellStyle name="桁区切り 4 3" xfId="81"/>
    <cellStyle name="桁区切り 4 3 2" xfId="162"/>
    <cellStyle name="桁区切り 4 3 3" xfId="112"/>
    <cellStyle name="桁区切り 4 4" xfId="65"/>
    <cellStyle name="桁区切り 4 4 2" xfId="146"/>
    <cellStyle name="桁区切り 4 4 3" xfId="121"/>
    <cellStyle name="桁区切り 4 5" xfId="94"/>
    <cellStyle name="桁区切り 4 6" xfId="130"/>
    <cellStyle name="桁区切り 5" xfId="32"/>
    <cellStyle name="桁区切り 6" xfId="51"/>
    <cellStyle name="桁区切り 6 2" xfId="67"/>
    <cellStyle name="桁区切り 6 2 2" xfId="148"/>
    <cellStyle name="桁区切り 6 3" xfId="132"/>
    <cellStyle name="桁区切り 6 4" xfId="99"/>
    <cellStyle name="桁区切り 7" xfId="76"/>
    <cellStyle name="桁区切り 7 2" xfId="157"/>
    <cellStyle name="桁区切り 7 3" xfId="107"/>
    <cellStyle name="桁区切り 8" xfId="85"/>
    <cellStyle name="桁区切り 8 2" xfId="166"/>
    <cellStyle name="桁区切り 8 3" xfId="116"/>
    <cellStyle name="桁区切り 9" xfId="88"/>
    <cellStyle name="通貨 2" xfId="12"/>
    <cellStyle name="通貨 2 2" xfId="53"/>
    <cellStyle name="通貨 2 2 2" xfId="69"/>
    <cellStyle name="通貨 2 2 2 2" xfId="150"/>
    <cellStyle name="通貨 2 2 3" xfId="134"/>
    <cellStyle name="通貨 2 2 4" xfId="101"/>
    <cellStyle name="通貨 2 3" xfId="78"/>
    <cellStyle name="通貨 2 3 2" xfId="159"/>
    <cellStyle name="通貨 2 3 3" xfId="109"/>
    <cellStyle name="通貨 2 4" xfId="59"/>
    <cellStyle name="通貨 2 4 2" xfId="140"/>
    <cellStyle name="通貨 2 4 3" xfId="118"/>
    <cellStyle name="通貨 2 5" xfId="90"/>
    <cellStyle name="通貨 2 6" xfId="124"/>
    <cellStyle name="標準" xfId="0" builtinId="0"/>
    <cellStyle name="標準 10" xfId="44"/>
    <cellStyle name="標準 10 2" xfId="63"/>
    <cellStyle name="標準 10 2 2" xfId="144"/>
    <cellStyle name="標準 10 3" xfId="128"/>
    <cellStyle name="標準 10 4" xfId="96"/>
    <cellStyle name="標準 11" xfId="48"/>
    <cellStyle name="標準 11 2" xfId="66"/>
    <cellStyle name="標準 11 2 2" xfId="147"/>
    <cellStyle name="標準 11 3" xfId="131"/>
    <cellStyle name="標準 11 4" xfId="98"/>
    <cellStyle name="標準 12" xfId="75"/>
    <cellStyle name="標準 12 2" xfId="156"/>
    <cellStyle name="標準 12 3" xfId="106"/>
    <cellStyle name="標準 13" xfId="84"/>
    <cellStyle name="標準 13 2" xfId="165"/>
    <cellStyle name="標準 13 3" xfId="115"/>
    <cellStyle name="標準 14" xfId="87"/>
    <cellStyle name="標準 2" xfId="3"/>
    <cellStyle name="標準 2 2" xfId="13"/>
    <cellStyle name="標準 2 2 2" xfId="14"/>
    <cellStyle name="標準 2 2 3" xfId="38"/>
    <cellStyle name="標準 2 2 3 2" xfId="83"/>
    <cellStyle name="標準 2 2 3 2 2" xfId="164"/>
    <cellStyle name="標準 2 2 3 2 3" xfId="114"/>
    <cellStyle name="標準 2 2 3 3" xfId="74"/>
    <cellStyle name="標準 2 2 3 3 2" xfId="155"/>
    <cellStyle name="標準 2 2 3 3 3" xfId="123"/>
    <cellStyle name="標準 2 2 3 4" xfId="95"/>
    <cellStyle name="標準 2 2 3 5" xfId="139"/>
    <cellStyle name="標準 2 3" xfId="15"/>
    <cellStyle name="標準 2 3 2" xfId="16"/>
    <cellStyle name="標準 2 3 2 2" xfId="22"/>
    <cellStyle name="標準 2 4" xfId="17"/>
    <cellStyle name="標準 2 5" xfId="18"/>
    <cellStyle name="標準 2 6" xfId="36"/>
    <cellStyle name="標準 2 7" xfId="41"/>
    <cellStyle name="標準 2_システム要件表_0201" xfId="46"/>
    <cellStyle name="標準 3" xfId="1"/>
    <cellStyle name="標準 3 2" xfId="33"/>
    <cellStyle name="標準 3 3" xfId="49"/>
    <cellStyle name="標準 3 4" xfId="42"/>
    <cellStyle name="標準 4" xfId="5"/>
    <cellStyle name="標準 4 2" xfId="7"/>
    <cellStyle name="標準 4 3" xfId="39"/>
    <cellStyle name="標準 5" xfId="19"/>
    <cellStyle name="標準 6" xfId="20"/>
    <cellStyle name="標準 6 2" xfId="54"/>
    <cellStyle name="標準 6 2 2" xfId="70"/>
    <cellStyle name="標準 6 2 2 2" xfId="151"/>
    <cellStyle name="標準 6 2 3" xfId="135"/>
    <cellStyle name="標準 6 2 4" xfId="102"/>
    <cellStyle name="標準 6 3" xfId="79"/>
    <cellStyle name="標準 6 3 2" xfId="160"/>
    <cellStyle name="標準 6 3 3" xfId="110"/>
    <cellStyle name="標準 6 4" xfId="60"/>
    <cellStyle name="標準 6 4 2" xfId="141"/>
    <cellStyle name="標準 6 4 3" xfId="119"/>
    <cellStyle name="標準 6 5" xfId="91"/>
    <cellStyle name="標準 6 6" xfId="125"/>
    <cellStyle name="標準 63" xfId="34"/>
    <cellStyle name="標準 7" xfId="8"/>
    <cellStyle name="標準 7 2" xfId="43"/>
    <cellStyle name="標準 8" xfId="21"/>
    <cellStyle name="標準 8 2" xfId="55"/>
    <cellStyle name="標準 8 2 2" xfId="71"/>
    <cellStyle name="標準 8 2 2 2" xfId="152"/>
    <cellStyle name="標準 8 2 3" xfId="136"/>
    <cellStyle name="標準 8 2 4" xfId="103"/>
    <cellStyle name="標準 8 3" xfId="80"/>
    <cellStyle name="標準 8 3 2" xfId="161"/>
    <cellStyle name="標準 8 3 3" xfId="111"/>
    <cellStyle name="標準 8 4" xfId="61"/>
    <cellStyle name="標準 8 4 2" xfId="142"/>
    <cellStyle name="標準 8 4 3" xfId="120"/>
    <cellStyle name="標準 8 5" xfId="92"/>
    <cellStyle name="標準 8 6" xfId="126"/>
    <cellStyle name="標準 9" xfId="35"/>
    <cellStyle name="標準 9 2" xfId="58"/>
    <cellStyle name="標準 9 2 2" xfId="73"/>
    <cellStyle name="標準 9 2 2 2" xfId="154"/>
    <cellStyle name="標準 9 2 3" xfId="138"/>
    <cellStyle name="標準 9 2 4" xfId="105"/>
    <cellStyle name="標準 9 3" xfId="82"/>
    <cellStyle name="標準 9 3 2" xfId="163"/>
    <cellStyle name="標準 9 3 3" xfId="113"/>
    <cellStyle name="標準 9 4" xfId="62"/>
    <cellStyle name="標準 9 4 2" xfId="143"/>
    <cellStyle name="標準 9 4 3" xfId="122"/>
    <cellStyle name="標準 9 5" xfId="93"/>
    <cellStyle name="標準 9 6" xfId="127"/>
  </cellStyles>
  <dxfs count="13"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409575</xdr:rowOff>
    </xdr:from>
    <xdr:to>
      <xdr:col>33</xdr:col>
      <xdr:colOff>200027</xdr:colOff>
      <xdr:row>2</xdr:row>
      <xdr:rowOff>457200</xdr:rowOff>
    </xdr:to>
    <xdr:sp macro="" textlink="">
      <xdr:nvSpPr>
        <xdr:cNvPr id="3" name="テキスト ボックス 2"/>
        <xdr:cNvSpPr txBox="1"/>
      </xdr:nvSpPr>
      <xdr:spPr>
        <a:xfrm>
          <a:off x="152400" y="409575"/>
          <a:ext cx="7277102" cy="9239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 u="sng">
            <a:solidFill>
              <a:srgbClr val="FF0000"/>
            </a:solidFill>
            <a:effectLst/>
          </a:endParaRPr>
        </a:p>
        <a:p>
          <a:r>
            <a:rPr kumimoji="1" lang="ja-JP" altLang="en-US" sz="1100" u="none">
              <a:solidFill>
                <a:srgbClr val="FF0000"/>
              </a:solidFill>
              <a:effectLst/>
            </a:rPr>
            <a:t>なお、本シートは「生産性革命促進事業」以外では使用することはできません。</a:t>
          </a:r>
          <a:endParaRPr lang="ja-JP" altLang="ja-JP" sz="800" u="none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409575</xdr:rowOff>
    </xdr:from>
    <xdr:to>
      <xdr:col>33</xdr:col>
      <xdr:colOff>200027</xdr:colOff>
      <xdr:row>2</xdr:row>
      <xdr:rowOff>457200</xdr:rowOff>
    </xdr:to>
    <xdr:sp macro="" textlink="">
      <xdr:nvSpPr>
        <xdr:cNvPr id="3" name="テキスト ボックス 2"/>
        <xdr:cNvSpPr txBox="1"/>
      </xdr:nvSpPr>
      <xdr:spPr>
        <a:xfrm>
          <a:off x="152400" y="409575"/>
          <a:ext cx="7277102" cy="9239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 u="sng">
            <a:solidFill>
              <a:srgbClr val="FF0000"/>
            </a:solidFill>
            <a:effectLst/>
          </a:endParaRPr>
        </a:p>
        <a:p>
          <a:r>
            <a:rPr kumimoji="1" lang="ja-JP" altLang="en-US" sz="1100" u="none">
              <a:solidFill>
                <a:srgbClr val="FF0000"/>
              </a:solidFill>
              <a:effectLst/>
            </a:rPr>
            <a:t>なお、本シートは「生産性革命促進事業」以外では使用することはできません。</a:t>
          </a:r>
          <a:endParaRPr lang="ja-JP" altLang="ja-JP" sz="800" u="none">
            <a:solidFill>
              <a:srgbClr val="FF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46"/>
  <sheetViews>
    <sheetView showGridLines="0" tabSelected="1" view="pageBreakPreview" zoomScaleNormal="100" zoomScaleSheetLayoutView="100" workbookViewId="0">
      <selection sqref="A1:AE1"/>
    </sheetView>
  </sheetViews>
  <sheetFormatPr defaultRowHeight="13.5"/>
  <cols>
    <col min="1" max="31" width="2.875" style="35" customWidth="1"/>
    <col min="32" max="35" width="2.875" style="86" customWidth="1"/>
    <col min="36" max="36" width="2.875" style="35" customWidth="1"/>
    <col min="37" max="38" width="0.75" style="35" hidden="1" customWidth="1"/>
    <col min="39" max="39" width="22.75" style="95" hidden="1" customWidth="1"/>
    <col min="40" max="40" width="13.875" style="95" hidden="1" customWidth="1"/>
    <col min="41" max="42" width="20" style="95" hidden="1" customWidth="1"/>
    <col min="43" max="43" width="7.625" style="95" hidden="1" customWidth="1"/>
    <col min="44" max="44" width="9" style="87" hidden="1" customWidth="1"/>
    <col min="45" max="45" width="12.5" style="87" customWidth="1"/>
    <col min="46" max="46" width="9" style="124"/>
    <col min="47" max="50" width="9" style="41"/>
    <col min="51" max="51" width="13.625" style="41" customWidth="1"/>
    <col min="52" max="54" width="9" style="41"/>
    <col min="55" max="55" width="5.25" style="41" customWidth="1"/>
    <col min="56" max="58" width="9" style="41"/>
    <col min="59" max="59" width="2.875" style="41" customWidth="1"/>
    <col min="60" max="16384" width="9" style="41"/>
  </cols>
  <sheetData>
    <row r="1" spans="1:73" s="87" customFormat="1" ht="34.5" customHeight="1">
      <c r="A1" s="153" t="s">
        <v>235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48"/>
      <c r="AG1" s="148"/>
      <c r="AH1" s="148"/>
      <c r="AI1" s="109"/>
      <c r="AJ1" s="86"/>
      <c r="AK1" s="86"/>
      <c r="AL1" s="86"/>
      <c r="AM1" s="299"/>
      <c r="AN1" s="299"/>
      <c r="AO1" s="299"/>
      <c r="AP1" s="299"/>
      <c r="AQ1" s="299"/>
      <c r="AR1" s="299"/>
      <c r="AS1" s="299"/>
      <c r="AT1" s="299"/>
      <c r="AU1" s="299"/>
      <c r="AV1" s="299"/>
      <c r="AW1" s="299"/>
      <c r="AX1" s="299"/>
      <c r="AY1" s="299"/>
      <c r="AZ1" s="299"/>
      <c r="BA1" s="299"/>
      <c r="BB1" s="299"/>
      <c r="BC1" s="299"/>
      <c r="BD1" s="299"/>
      <c r="BE1" s="299"/>
      <c r="BF1" s="299"/>
      <c r="BG1" s="299"/>
      <c r="BH1" s="299"/>
      <c r="BI1" s="299"/>
      <c r="BJ1" s="299"/>
      <c r="BK1" s="299"/>
      <c r="BL1" s="299"/>
      <c r="BM1" s="299"/>
      <c r="BN1" s="299"/>
      <c r="BO1" s="299"/>
      <c r="BP1" s="299"/>
      <c r="BQ1" s="299"/>
      <c r="BR1" s="299"/>
      <c r="BS1" s="299"/>
      <c r="BT1" s="299"/>
      <c r="BU1" s="299"/>
    </row>
    <row r="2" spans="1:73" ht="34.5" customHeight="1">
      <c r="A2" s="153"/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96"/>
      <c r="AG2" s="96"/>
      <c r="AH2" s="96"/>
      <c r="AI2" s="97"/>
    </row>
    <row r="3" spans="1:73" ht="42.75" customHeight="1"/>
    <row r="4" spans="1:73" ht="15" customHeight="1">
      <c r="B4" s="300"/>
      <c r="C4" s="301"/>
      <c r="D4" s="301"/>
      <c r="E4" s="302"/>
      <c r="F4" s="303" t="s">
        <v>226</v>
      </c>
      <c r="G4" s="304"/>
      <c r="H4" s="304"/>
      <c r="I4" s="304"/>
      <c r="J4" s="304"/>
      <c r="K4" s="304"/>
    </row>
    <row r="5" spans="1:73" ht="15" customHeight="1">
      <c r="A5" s="35" t="s">
        <v>180</v>
      </c>
    </row>
    <row r="6" spans="1:73" ht="15" customHeight="1">
      <c r="B6" s="161" t="s">
        <v>118</v>
      </c>
      <c r="C6" s="162"/>
      <c r="D6" s="162"/>
      <c r="E6" s="162"/>
      <c r="F6" s="162"/>
      <c r="G6" s="162"/>
      <c r="H6" s="163"/>
      <c r="I6" s="164" t="s">
        <v>121</v>
      </c>
      <c r="J6" s="165"/>
      <c r="K6" s="165"/>
      <c r="L6" s="165"/>
      <c r="M6" s="165"/>
      <c r="N6" s="165"/>
      <c r="O6" s="165"/>
      <c r="P6" s="165"/>
      <c r="Q6" s="165"/>
      <c r="R6" s="166"/>
      <c r="S6" s="107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02"/>
      <c r="AJ6" s="41"/>
    </row>
    <row r="7" spans="1:73" ht="15" customHeight="1">
      <c r="B7" s="305" t="s">
        <v>232</v>
      </c>
      <c r="C7" s="306"/>
      <c r="D7" s="306"/>
      <c r="E7" s="306"/>
      <c r="F7" s="306"/>
      <c r="G7" s="306"/>
      <c r="H7" s="307"/>
      <c r="I7" s="167"/>
      <c r="J7" s="168"/>
      <c r="K7" s="168"/>
      <c r="L7" s="168"/>
      <c r="M7" s="168"/>
      <c r="N7" s="168"/>
      <c r="O7" s="168"/>
      <c r="P7" s="168"/>
      <c r="Q7" s="168"/>
      <c r="R7" s="169"/>
      <c r="S7" s="107"/>
      <c r="T7" s="173" t="s">
        <v>188</v>
      </c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02"/>
      <c r="AJ7" s="41"/>
    </row>
    <row r="8" spans="1:73" ht="3" customHeight="1"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99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02"/>
      <c r="AJ8" s="37"/>
    </row>
    <row r="9" spans="1:73" ht="15" customHeight="1">
      <c r="A9" s="35" t="s">
        <v>50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37"/>
    </row>
    <row r="10" spans="1:73" ht="15" customHeight="1">
      <c r="B10" s="170" t="s">
        <v>233</v>
      </c>
      <c r="C10" s="171"/>
      <c r="D10" s="171"/>
      <c r="E10" s="171"/>
      <c r="F10" s="171"/>
      <c r="G10" s="171"/>
      <c r="H10" s="172"/>
      <c r="I10" s="167" t="s">
        <v>51</v>
      </c>
      <c r="J10" s="168"/>
      <c r="K10" s="168"/>
      <c r="L10" s="168"/>
      <c r="M10" s="168"/>
      <c r="N10" s="168"/>
      <c r="O10" s="168"/>
      <c r="P10" s="168"/>
      <c r="Q10" s="168"/>
      <c r="R10" s="168"/>
      <c r="S10" s="107"/>
      <c r="T10" s="173" t="s">
        <v>234</v>
      </c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02"/>
      <c r="AJ10" s="42"/>
      <c r="AM10" s="112" t="s">
        <v>120</v>
      </c>
      <c r="AN10" s="137" t="s">
        <v>144</v>
      </c>
      <c r="AO10" s="92"/>
      <c r="AP10" s="92"/>
      <c r="AQ10" s="92"/>
      <c r="AR10" s="93"/>
      <c r="AS10" s="72"/>
      <c r="AT10" s="125"/>
      <c r="AU10" s="72"/>
      <c r="AV10" s="72"/>
      <c r="AW10" s="72"/>
      <c r="AX10" s="72"/>
      <c r="AY10" s="72"/>
      <c r="AZ10" s="72"/>
      <c r="BA10" s="72"/>
    </row>
    <row r="11" spans="1:73" ht="30" customHeight="1">
      <c r="B11" s="161" t="s">
        <v>52</v>
      </c>
      <c r="C11" s="162"/>
      <c r="D11" s="162"/>
      <c r="E11" s="162"/>
      <c r="F11" s="162"/>
      <c r="G11" s="162"/>
      <c r="H11" s="163"/>
      <c r="I11" s="167" t="s">
        <v>59</v>
      </c>
      <c r="J11" s="168"/>
      <c r="K11" s="168"/>
      <c r="L11" s="168"/>
      <c r="M11" s="168"/>
      <c r="N11" s="168"/>
      <c r="O11" s="168"/>
      <c r="P11" s="168"/>
      <c r="Q11" s="168"/>
      <c r="R11" s="168"/>
      <c r="S11" s="107"/>
      <c r="T11" s="173" t="s">
        <v>189</v>
      </c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02"/>
      <c r="AJ11" s="42"/>
      <c r="AO11" s="138"/>
      <c r="AP11" s="138"/>
    </row>
    <row r="12" spans="1:73" ht="15" customHeight="1">
      <c r="B12" s="154" t="s">
        <v>128</v>
      </c>
      <c r="C12" s="155"/>
      <c r="D12" s="155"/>
      <c r="E12" s="155"/>
      <c r="F12" s="155"/>
      <c r="G12" s="155"/>
      <c r="H12" s="156"/>
      <c r="I12" s="167" t="s">
        <v>84</v>
      </c>
      <c r="J12" s="168"/>
      <c r="K12" s="168"/>
      <c r="L12" s="168"/>
      <c r="M12" s="168"/>
      <c r="N12" s="168"/>
      <c r="O12" s="168"/>
      <c r="P12" s="168"/>
      <c r="Q12" s="168"/>
      <c r="R12" s="168"/>
      <c r="S12" s="107"/>
      <c r="T12" s="173" t="s">
        <v>190</v>
      </c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173"/>
      <c r="AI12" s="102"/>
      <c r="AJ12" s="42"/>
    </row>
    <row r="13" spans="1:73" ht="3" customHeight="1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87"/>
      <c r="AG13" s="87"/>
      <c r="AH13" s="87"/>
      <c r="AI13" s="87"/>
      <c r="AJ13" s="41"/>
      <c r="AN13" s="139"/>
    </row>
    <row r="14" spans="1:73" ht="12" customHeight="1">
      <c r="B14" s="174" t="s">
        <v>201</v>
      </c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37"/>
    </row>
    <row r="15" spans="1:73" ht="15" customHeight="1">
      <c r="A15" s="35" t="s">
        <v>171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88"/>
      <c r="AG15" s="88"/>
      <c r="AH15" s="88"/>
      <c r="AI15" s="88"/>
      <c r="AJ15" s="37"/>
      <c r="AN15" s="95" t="s">
        <v>182</v>
      </c>
      <c r="AO15" s="95" t="s">
        <v>183</v>
      </c>
    </row>
    <row r="16" spans="1:73" ht="15" customHeight="1">
      <c r="B16" s="277" t="s">
        <v>181</v>
      </c>
      <c r="C16" s="277"/>
      <c r="D16" s="277"/>
      <c r="E16" s="163" t="s">
        <v>2</v>
      </c>
      <c r="F16" s="277"/>
      <c r="G16" s="277"/>
      <c r="H16" s="277"/>
      <c r="I16" s="157">
        <v>1407</v>
      </c>
      <c r="J16" s="158"/>
      <c r="K16" s="158"/>
      <c r="L16" s="158"/>
      <c r="M16" s="158"/>
      <c r="N16" s="158"/>
      <c r="O16" s="158"/>
      <c r="P16" s="159" t="s">
        <v>53</v>
      </c>
      <c r="Q16" s="159"/>
      <c r="R16" s="160"/>
      <c r="S16" s="107"/>
      <c r="T16" s="173" t="s">
        <v>191</v>
      </c>
      <c r="U16" s="173"/>
      <c r="V16" s="173"/>
      <c r="W16" s="173"/>
      <c r="X16" s="173"/>
      <c r="Y16" s="173"/>
      <c r="Z16" s="173"/>
      <c r="AA16" s="173"/>
      <c r="AB16" s="173"/>
      <c r="AC16" s="173"/>
      <c r="AD16" s="173"/>
      <c r="AE16" s="173"/>
      <c r="AF16" s="173"/>
      <c r="AG16" s="173"/>
      <c r="AH16" s="173"/>
      <c r="AI16" s="102"/>
      <c r="AJ16" s="57"/>
      <c r="AM16" s="117" t="s">
        <v>0</v>
      </c>
      <c r="AN16" s="140">
        <f>ROUNDDOWN(IF(P16="kW",I16,I16/860),1)</f>
        <v>1407</v>
      </c>
      <c r="AO16" s="140">
        <f>ROUNDDOWN(AN16/AN18*860/AN20*0.9/0.93,1)</f>
        <v>112.9</v>
      </c>
      <c r="AP16" s="150"/>
      <c r="AQ16" s="87"/>
    </row>
    <row r="17" spans="1:53" ht="15" customHeight="1">
      <c r="B17" s="277"/>
      <c r="C17" s="277"/>
      <c r="D17" s="277"/>
      <c r="E17" s="162" t="s">
        <v>172</v>
      </c>
      <c r="F17" s="162"/>
      <c r="G17" s="162"/>
      <c r="H17" s="162"/>
      <c r="I17" s="157">
        <v>1177</v>
      </c>
      <c r="J17" s="158"/>
      <c r="K17" s="158"/>
      <c r="L17" s="158"/>
      <c r="M17" s="158"/>
      <c r="N17" s="158"/>
      <c r="O17" s="158"/>
      <c r="P17" s="159" t="s">
        <v>53</v>
      </c>
      <c r="Q17" s="159"/>
      <c r="R17" s="160"/>
      <c r="S17" s="107"/>
      <c r="T17" s="173" t="s">
        <v>191</v>
      </c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3"/>
      <c r="AG17" s="173"/>
      <c r="AH17" s="173"/>
      <c r="AI17" s="102"/>
      <c r="AJ17" s="43"/>
      <c r="AM17" s="117" t="s">
        <v>1</v>
      </c>
      <c r="AN17" s="140">
        <f>ROUNDDOWN(IF(P17="kW",I17,I17/860),1)</f>
        <v>1177</v>
      </c>
      <c r="AO17" s="141">
        <f>ROUNDDOWN(AN17/AO18*860/AN20*0.9/0.93,1)</f>
        <v>107.9</v>
      </c>
      <c r="AP17" s="151"/>
      <c r="AQ17" s="138"/>
    </row>
    <row r="18" spans="1:53" ht="15" customHeight="1">
      <c r="B18" s="277" t="s">
        <v>174</v>
      </c>
      <c r="C18" s="277"/>
      <c r="D18" s="277"/>
      <c r="E18" s="277"/>
      <c r="F18" s="277"/>
      <c r="G18" s="277"/>
      <c r="H18" s="277"/>
      <c r="I18" s="167" t="s">
        <v>73</v>
      </c>
      <c r="J18" s="168"/>
      <c r="K18" s="168"/>
      <c r="L18" s="168"/>
      <c r="M18" s="168"/>
      <c r="N18" s="168"/>
      <c r="O18" s="168"/>
      <c r="P18" s="168"/>
      <c r="Q18" s="168"/>
      <c r="R18" s="169"/>
      <c r="S18" s="107"/>
      <c r="T18" s="173" t="s">
        <v>192</v>
      </c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173"/>
      <c r="AI18" s="102"/>
      <c r="AJ18" s="43"/>
      <c r="AM18" s="121" t="s">
        <v>184</v>
      </c>
      <c r="AN18" s="122">
        <f>VLOOKUP(AN10&amp;E16&amp;AN22,'&lt;吸収式&gt;マスタ'!$R$6:$S$39,2,0)</f>
        <v>0.96</v>
      </c>
      <c r="AO18" s="122">
        <f>VLOOKUP(AN10&amp;E17&amp;AN22,'&lt;吸収式&gt;マスタ'!$R$6:$S$39,2,0)</f>
        <v>0.84</v>
      </c>
      <c r="AP18" s="152"/>
      <c r="AQ18" s="92"/>
      <c r="AS18" s="78"/>
      <c r="AT18" s="126"/>
      <c r="AU18" s="78"/>
      <c r="AV18" s="78"/>
      <c r="AW18" s="78"/>
      <c r="AX18" s="78"/>
      <c r="AY18" s="76"/>
      <c r="AZ18" s="73"/>
      <c r="BA18" s="73"/>
    </row>
    <row r="19" spans="1:53" ht="3" customHeight="1"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107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02"/>
      <c r="AJ19" s="43"/>
      <c r="AM19" s="138"/>
      <c r="AN19" s="138"/>
      <c r="AO19" s="138"/>
      <c r="AP19" s="138"/>
      <c r="AQ19" s="138"/>
    </row>
    <row r="20" spans="1:53" ht="15" customHeight="1">
      <c r="A20" s="35" t="s">
        <v>173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100"/>
      <c r="T20" s="100"/>
      <c r="U20" s="100"/>
      <c r="V20" s="100"/>
      <c r="W20" s="101"/>
      <c r="X20" s="101"/>
      <c r="Y20" s="101"/>
      <c r="Z20" s="101"/>
      <c r="AA20" s="101"/>
      <c r="AB20" s="101"/>
      <c r="AC20" s="101"/>
      <c r="AD20" s="100"/>
      <c r="AE20" s="100"/>
      <c r="AF20" s="100"/>
      <c r="AG20" s="100"/>
      <c r="AH20" s="100"/>
      <c r="AI20" s="100"/>
      <c r="AJ20" s="43"/>
      <c r="AM20" s="112" t="s">
        <v>160</v>
      </c>
      <c r="AN20" s="114">
        <f>VLOOKUP(I18,'&lt;吸収式&gt;マスタ'!$F$6:$G$13,2,0)</f>
        <v>10800</v>
      </c>
      <c r="AO20" s="115" t="s">
        <v>161</v>
      </c>
      <c r="AP20" s="94"/>
      <c r="AQ20" s="138"/>
    </row>
    <row r="21" spans="1:53" ht="30" customHeight="1">
      <c r="B21" s="170" t="s">
        <v>54</v>
      </c>
      <c r="C21" s="171"/>
      <c r="D21" s="171"/>
      <c r="E21" s="171"/>
      <c r="F21" s="171"/>
      <c r="G21" s="171"/>
      <c r="H21" s="172"/>
      <c r="I21" s="285" t="s">
        <v>4</v>
      </c>
      <c r="J21" s="285"/>
      <c r="K21" s="285"/>
      <c r="L21" s="285"/>
      <c r="M21" s="285"/>
      <c r="N21" s="285"/>
      <c r="O21" s="285"/>
      <c r="P21" s="285"/>
      <c r="Q21" s="285"/>
      <c r="R21" s="285"/>
      <c r="S21" s="107"/>
      <c r="T21" s="312" t="s">
        <v>221</v>
      </c>
      <c r="U21" s="173"/>
      <c r="V21" s="173"/>
      <c r="W21" s="173"/>
      <c r="X21" s="173"/>
      <c r="Y21" s="173"/>
      <c r="Z21" s="173"/>
      <c r="AA21" s="173"/>
      <c r="AB21" s="173"/>
      <c r="AC21" s="173"/>
      <c r="AD21" s="173"/>
      <c r="AE21" s="173"/>
      <c r="AF21" s="173"/>
      <c r="AG21" s="173"/>
      <c r="AH21" s="173"/>
      <c r="AI21" s="102"/>
      <c r="AJ21" s="43"/>
      <c r="AM21" s="138"/>
      <c r="AN21" s="138"/>
      <c r="AO21" s="138"/>
      <c r="AP21" s="138"/>
      <c r="AQ21" s="138"/>
    </row>
    <row r="22" spans="1:53" ht="15" customHeight="1">
      <c r="B22" s="161" t="s">
        <v>129</v>
      </c>
      <c r="C22" s="162"/>
      <c r="D22" s="162"/>
      <c r="E22" s="162"/>
      <c r="F22" s="162"/>
      <c r="G22" s="162"/>
      <c r="H22" s="163"/>
      <c r="I22" s="292">
        <v>1990</v>
      </c>
      <c r="J22" s="292"/>
      <c r="K22" s="292"/>
      <c r="L22" s="292"/>
      <c r="M22" s="292"/>
      <c r="N22" s="292"/>
      <c r="O22" s="292"/>
      <c r="P22" s="292"/>
      <c r="Q22" s="292"/>
      <c r="R22" s="292"/>
      <c r="S22" s="107"/>
      <c r="T22" s="173" t="s">
        <v>193</v>
      </c>
      <c r="U22" s="173"/>
      <c r="V22" s="173"/>
      <c r="W22" s="173"/>
      <c r="X22" s="173"/>
      <c r="Y22" s="173"/>
      <c r="Z22" s="173"/>
      <c r="AA22" s="173"/>
      <c r="AB22" s="173"/>
      <c r="AC22" s="173"/>
      <c r="AD22" s="173"/>
      <c r="AE22" s="173"/>
      <c r="AF22" s="173"/>
      <c r="AG22" s="173"/>
      <c r="AH22" s="173"/>
      <c r="AI22" s="102"/>
      <c r="AJ22" s="43"/>
      <c r="AM22" s="121" t="s">
        <v>64</v>
      </c>
      <c r="AN22" s="142">
        <f>VLOOKUP(I22,'&lt;吸収式&gt;マスタ'!U7:V75,2,0)</f>
        <v>1990</v>
      </c>
      <c r="AO22" s="138"/>
      <c r="AP22" s="138"/>
      <c r="AQ22" s="138"/>
    </row>
    <row r="23" spans="1:53" ht="15" customHeight="1">
      <c r="B23" s="154" t="s">
        <v>119</v>
      </c>
      <c r="C23" s="155"/>
      <c r="D23" s="155"/>
      <c r="E23" s="155"/>
      <c r="F23" s="155"/>
      <c r="G23" s="155"/>
      <c r="H23" s="156"/>
      <c r="I23" s="313">
        <v>1</v>
      </c>
      <c r="J23" s="314"/>
      <c r="K23" s="314"/>
      <c r="L23" s="314"/>
      <c r="M23" s="314"/>
      <c r="N23" s="314"/>
      <c r="O23" s="314"/>
      <c r="P23" s="315" t="s">
        <v>202</v>
      </c>
      <c r="Q23" s="316"/>
      <c r="R23" s="316"/>
      <c r="S23" s="107"/>
      <c r="T23" s="173" t="s">
        <v>194</v>
      </c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02"/>
      <c r="AJ23" s="43"/>
      <c r="AM23" s="138"/>
      <c r="AN23" s="138"/>
      <c r="AO23" s="138"/>
      <c r="AP23" s="138"/>
      <c r="AQ23" s="138"/>
    </row>
    <row r="24" spans="1:53" ht="3" customHeight="1">
      <c r="B24" s="58"/>
      <c r="C24" s="58"/>
      <c r="D24" s="58"/>
      <c r="E24" s="58"/>
      <c r="F24" s="58"/>
      <c r="G24" s="58"/>
      <c r="H24" s="58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100"/>
      <c r="T24" s="100"/>
      <c r="U24" s="100"/>
      <c r="V24" s="100"/>
      <c r="W24" s="101"/>
      <c r="X24" s="101"/>
      <c r="Y24" s="101"/>
      <c r="Z24" s="101"/>
      <c r="AA24" s="101"/>
      <c r="AB24" s="101"/>
      <c r="AC24" s="101"/>
      <c r="AD24" s="100"/>
      <c r="AE24" s="100"/>
      <c r="AF24" s="100"/>
      <c r="AG24" s="100"/>
      <c r="AH24" s="100"/>
      <c r="AI24" s="100"/>
      <c r="AJ24" s="43"/>
      <c r="AM24" s="138"/>
      <c r="AN24" s="138"/>
      <c r="AO24" s="138"/>
      <c r="AP24" s="138"/>
      <c r="AQ24" s="138"/>
    </row>
    <row r="25" spans="1:53" ht="15" customHeight="1">
      <c r="A25" s="35" t="s">
        <v>176</v>
      </c>
      <c r="B25" s="43"/>
      <c r="C25" s="43"/>
      <c r="D25" s="43"/>
      <c r="E25" s="71"/>
      <c r="F25" s="71"/>
      <c r="G25" s="71"/>
      <c r="H25" s="71"/>
      <c r="I25" s="70"/>
      <c r="J25" s="70"/>
      <c r="K25" s="70"/>
      <c r="L25" s="70"/>
      <c r="M25" s="70"/>
      <c r="N25" s="70"/>
      <c r="O25" s="70"/>
      <c r="P25" s="71"/>
      <c r="Q25" s="71"/>
      <c r="R25" s="71"/>
      <c r="S25" s="100"/>
      <c r="T25" s="100"/>
      <c r="U25" s="100"/>
      <c r="V25" s="100"/>
      <c r="W25" s="101"/>
      <c r="X25" s="101"/>
      <c r="Y25" s="101"/>
      <c r="Z25" s="101"/>
      <c r="AA25" s="101"/>
      <c r="AB25" s="101"/>
      <c r="AC25" s="101"/>
      <c r="AD25" s="100"/>
      <c r="AE25" s="100"/>
      <c r="AF25" s="100"/>
      <c r="AG25" s="100"/>
      <c r="AH25" s="100"/>
      <c r="AI25" s="100"/>
      <c r="AJ25" s="43"/>
      <c r="AM25" s="143"/>
      <c r="AN25" s="93"/>
      <c r="AO25" s="143"/>
      <c r="AP25" s="143"/>
      <c r="AQ25" s="93"/>
    </row>
    <row r="26" spans="1:53" ht="15" customHeight="1">
      <c r="B26" s="317" t="s">
        <v>177</v>
      </c>
      <c r="C26" s="318"/>
      <c r="D26" s="318"/>
      <c r="E26" s="318"/>
      <c r="F26" s="318"/>
      <c r="G26" s="318"/>
      <c r="H26" s="318"/>
      <c r="I26" s="167" t="s">
        <v>109</v>
      </c>
      <c r="J26" s="168"/>
      <c r="K26" s="168"/>
      <c r="L26" s="168"/>
      <c r="M26" s="168"/>
      <c r="N26" s="168"/>
      <c r="O26" s="168"/>
      <c r="P26" s="168"/>
      <c r="Q26" s="168"/>
      <c r="R26" s="169"/>
      <c r="S26" s="107"/>
      <c r="T26" s="173" t="s">
        <v>195</v>
      </c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E26" s="173"/>
      <c r="AF26" s="173"/>
      <c r="AG26" s="173"/>
      <c r="AH26" s="173"/>
      <c r="AI26" s="102"/>
      <c r="AJ26" s="43"/>
      <c r="AM26" s="143"/>
      <c r="AN26" s="87"/>
      <c r="AO26" s="143"/>
      <c r="AP26" s="143"/>
      <c r="AQ26" s="87"/>
    </row>
    <row r="27" spans="1:53" ht="14.25" customHeight="1">
      <c r="B27" s="277" t="s">
        <v>103</v>
      </c>
      <c r="C27" s="277"/>
      <c r="D27" s="277"/>
      <c r="E27" s="286" t="s">
        <v>131</v>
      </c>
      <c r="F27" s="286"/>
      <c r="G27" s="286"/>
      <c r="H27" s="286"/>
      <c r="I27" s="287" t="s">
        <v>130</v>
      </c>
      <c r="J27" s="288"/>
      <c r="K27" s="288"/>
      <c r="L27" s="288"/>
      <c r="M27" s="288"/>
      <c r="N27" s="288"/>
      <c r="O27" s="288"/>
      <c r="P27" s="288"/>
      <c r="Q27" s="288"/>
      <c r="R27" s="289"/>
      <c r="S27" s="107"/>
      <c r="T27" s="173" t="str">
        <f>IF(I26="該当","←「有り」「無し（一定値）」から選択","←入力不要")</f>
        <v>←「有り」「無し（一定値）」から選択</v>
      </c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E27" s="173"/>
      <c r="AF27" s="173"/>
      <c r="AG27" s="173"/>
      <c r="AH27" s="173"/>
      <c r="AI27" s="102"/>
      <c r="AJ27" s="41"/>
      <c r="AM27" s="121" t="s">
        <v>131</v>
      </c>
      <c r="AN27" s="121">
        <f>IF($I$27="有り",0.5,1)</f>
        <v>1</v>
      </c>
    </row>
    <row r="28" spans="1:53" ht="30" customHeight="1">
      <c r="B28" s="277"/>
      <c r="C28" s="277"/>
      <c r="D28" s="277"/>
      <c r="E28" s="290" t="s">
        <v>140</v>
      </c>
      <c r="F28" s="291"/>
      <c r="G28" s="291"/>
      <c r="H28" s="291"/>
      <c r="I28" s="278">
        <v>90</v>
      </c>
      <c r="J28" s="279"/>
      <c r="K28" s="279"/>
      <c r="L28" s="279"/>
      <c r="M28" s="279"/>
      <c r="N28" s="279"/>
      <c r="O28" s="279"/>
      <c r="P28" s="280" t="s">
        <v>94</v>
      </c>
      <c r="Q28" s="280"/>
      <c r="R28" s="281"/>
      <c r="S28" s="107"/>
      <c r="T28" s="173" t="str">
        <f>IF(I26="該当","←水頭損失を入力（半角）※初期値：90","←入力不要")</f>
        <v>←水頭損失を入力（半角）※初期値：90</v>
      </c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173"/>
      <c r="AI28" s="102"/>
      <c r="AJ28" s="41"/>
      <c r="AM28" s="144" t="s">
        <v>169</v>
      </c>
      <c r="AN28" s="119">
        <f>ROUNDDOWN(1000*I29/3600*(I28+196)/0.8/0.93/1000,1)</f>
        <v>42.7</v>
      </c>
      <c r="AO28" s="138"/>
      <c r="AP28" s="138"/>
    </row>
    <row r="29" spans="1:53" ht="15" customHeight="1">
      <c r="B29" s="277"/>
      <c r="C29" s="277"/>
      <c r="D29" s="277"/>
      <c r="E29" s="163" t="s">
        <v>89</v>
      </c>
      <c r="F29" s="277"/>
      <c r="G29" s="277"/>
      <c r="H29" s="277"/>
      <c r="I29" s="278">
        <v>400</v>
      </c>
      <c r="J29" s="279"/>
      <c r="K29" s="279"/>
      <c r="L29" s="279"/>
      <c r="M29" s="279"/>
      <c r="N29" s="279"/>
      <c r="O29" s="279"/>
      <c r="P29" s="280" t="s">
        <v>236</v>
      </c>
      <c r="Q29" s="280"/>
      <c r="R29" s="281"/>
      <c r="S29" s="107"/>
      <c r="T29" s="173" t="str">
        <f>IF(I26="該当","←冷却水流量を入力（半角）","←入力不要")</f>
        <v>←冷却水流量を入力（半角）</v>
      </c>
      <c r="U29" s="173"/>
      <c r="V29" s="173"/>
      <c r="W29" s="173"/>
      <c r="X29" s="173"/>
      <c r="Y29" s="173"/>
      <c r="Z29" s="173"/>
      <c r="AA29" s="173"/>
      <c r="AB29" s="173"/>
      <c r="AC29" s="173"/>
      <c r="AD29" s="173"/>
      <c r="AE29" s="173"/>
      <c r="AF29" s="173"/>
      <c r="AG29" s="173"/>
      <c r="AH29" s="173"/>
      <c r="AI29" s="102"/>
      <c r="AJ29" s="89"/>
      <c r="AM29" s="121" t="s">
        <v>95</v>
      </c>
      <c r="AN29" s="123">
        <f>ROUNDDOWN(AN28*AN27,2)</f>
        <v>42.7</v>
      </c>
    </row>
    <row r="30" spans="1:53" ht="3" customHeight="1">
      <c r="B30" s="42"/>
      <c r="C30" s="42"/>
      <c r="D30" s="42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</row>
    <row r="31" spans="1:53" s="87" customFormat="1" ht="3" customHeight="1">
      <c r="A31" s="86"/>
      <c r="B31" s="89"/>
      <c r="C31" s="89"/>
      <c r="D31" s="89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86"/>
      <c r="AL31" s="86"/>
      <c r="AM31" s="95"/>
      <c r="AN31" s="95"/>
      <c r="AO31" s="95"/>
      <c r="AP31" s="95"/>
      <c r="AQ31" s="95"/>
      <c r="AT31" s="124"/>
    </row>
    <row r="32" spans="1:53" ht="15" customHeight="1">
      <c r="A32" s="35" t="s">
        <v>175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44"/>
      <c r="AF32" s="44"/>
      <c r="AG32" s="44"/>
      <c r="AH32" s="44"/>
      <c r="AI32" s="44"/>
      <c r="AJ32" s="44"/>
      <c r="AM32" s="138"/>
      <c r="AN32" s="138"/>
      <c r="AO32" s="138"/>
      <c r="AP32" s="138"/>
    </row>
    <row r="33" spans="1:43" ht="30" customHeight="1">
      <c r="B33" s="222" t="s">
        <v>156</v>
      </c>
      <c r="C33" s="223"/>
      <c r="D33" s="224"/>
      <c r="E33" s="170" t="s">
        <v>56</v>
      </c>
      <c r="F33" s="172"/>
      <c r="G33" s="170" t="s">
        <v>14</v>
      </c>
      <c r="H33" s="171"/>
      <c r="I33" s="172"/>
      <c r="J33" s="270" t="s">
        <v>76</v>
      </c>
      <c r="K33" s="271"/>
      <c r="L33" s="272"/>
      <c r="M33" s="273" t="s">
        <v>133</v>
      </c>
      <c r="N33" s="171"/>
      <c r="O33" s="171"/>
      <c r="P33" s="172"/>
      <c r="Q33" s="170" t="s">
        <v>127</v>
      </c>
      <c r="R33" s="171"/>
      <c r="S33" s="172"/>
      <c r="T33" s="170" t="s">
        <v>110</v>
      </c>
      <c r="U33" s="171"/>
      <c r="V33" s="172"/>
      <c r="W33" s="170" t="s">
        <v>57</v>
      </c>
      <c r="X33" s="171"/>
      <c r="Y33" s="171"/>
      <c r="Z33" s="171"/>
      <c r="AA33" s="172"/>
      <c r="AB33" s="243"/>
      <c r="AC33" s="244"/>
      <c r="AD33" s="244"/>
      <c r="AE33" s="244"/>
      <c r="AF33" s="244"/>
      <c r="AG33" s="244"/>
      <c r="AH33" s="244"/>
      <c r="AI33" s="244"/>
      <c r="AJ33" s="244"/>
      <c r="AN33" s="145"/>
      <c r="AO33" s="145"/>
      <c r="AP33" s="145"/>
      <c r="AQ33" s="146"/>
    </row>
    <row r="34" spans="1:43" ht="13.5" customHeight="1" thickBot="1">
      <c r="B34" s="225"/>
      <c r="C34" s="226"/>
      <c r="D34" s="227"/>
      <c r="E34" s="154"/>
      <c r="F34" s="156"/>
      <c r="G34" s="154"/>
      <c r="H34" s="155"/>
      <c r="I34" s="156"/>
      <c r="J34" s="282" t="s">
        <v>100</v>
      </c>
      <c r="K34" s="283"/>
      <c r="L34" s="284"/>
      <c r="M34" s="293" t="s">
        <v>114</v>
      </c>
      <c r="N34" s="294"/>
      <c r="O34" s="294"/>
      <c r="P34" s="295"/>
      <c r="Q34" s="154"/>
      <c r="R34" s="155"/>
      <c r="S34" s="156"/>
      <c r="T34" s="293" t="s">
        <v>111</v>
      </c>
      <c r="U34" s="294"/>
      <c r="V34" s="295"/>
      <c r="W34" s="296" t="s">
        <v>203</v>
      </c>
      <c r="X34" s="297"/>
      <c r="Y34" s="297"/>
      <c r="Z34" s="297"/>
      <c r="AA34" s="298"/>
      <c r="AB34" s="243"/>
      <c r="AC34" s="244"/>
      <c r="AD34" s="244"/>
      <c r="AE34" s="244"/>
      <c r="AF34" s="244"/>
      <c r="AG34" s="244"/>
      <c r="AH34" s="244"/>
      <c r="AI34" s="244"/>
      <c r="AJ34" s="244"/>
      <c r="AM34" s="121" t="s">
        <v>80</v>
      </c>
      <c r="AN34" s="121" t="s">
        <v>81</v>
      </c>
      <c r="AQ34" s="95" t="s">
        <v>170</v>
      </c>
    </row>
    <row r="35" spans="1:43" ht="15" customHeight="1" thickTop="1">
      <c r="B35" s="225"/>
      <c r="C35" s="226"/>
      <c r="D35" s="227"/>
      <c r="E35" s="194">
        <v>4</v>
      </c>
      <c r="F35" s="195"/>
      <c r="G35" s="253" t="str">
        <f>VLOOKUP(E35&amp;$I$21,'&lt;吸収式&gt;マスタ'!Z:AC,4,0)</f>
        <v>暖房</v>
      </c>
      <c r="H35" s="254"/>
      <c r="I35" s="254"/>
      <c r="J35" s="267">
        <f t="shared" ref="J35:J46" si="0">IF(G35="暖房",$AO$17,$AO$16)</f>
        <v>107.9</v>
      </c>
      <c r="K35" s="267"/>
      <c r="L35" s="267"/>
      <c r="M35" s="256">
        <f t="shared" ref="M35:M46" si="1">IF(G35="暖房",AN35,AM35)</f>
        <v>0.16</v>
      </c>
      <c r="N35" s="257"/>
      <c r="O35" s="257"/>
      <c r="P35" s="258"/>
      <c r="Q35" s="259">
        <f>VLOOKUP(E35&amp;G35&amp;$I$21&amp;$I$6,'&lt;吸収式&gt;マスタ'!$AI$8:$AP$151,8,0)</f>
        <v>0.9</v>
      </c>
      <c r="R35" s="260"/>
      <c r="S35" s="261"/>
      <c r="T35" s="268">
        <v>300</v>
      </c>
      <c r="U35" s="269"/>
      <c r="V35" s="269"/>
      <c r="W35" s="274">
        <f>ROUNDDOWN(AQ35*M35*T35*$I$23/$AM$51,1)</f>
        <v>6686.5</v>
      </c>
      <c r="X35" s="275"/>
      <c r="Y35" s="275"/>
      <c r="Z35" s="275"/>
      <c r="AA35" s="276"/>
      <c r="AB35" s="308" t="s">
        <v>227</v>
      </c>
      <c r="AC35" s="309"/>
      <c r="AD35" s="309"/>
      <c r="AE35" s="309"/>
      <c r="AF35" s="309"/>
      <c r="AG35" s="309"/>
      <c r="AH35" s="309"/>
      <c r="AI35" s="111"/>
      <c r="AJ35" s="111"/>
      <c r="AM35" s="122">
        <f>VLOOKUP(E35&amp;$I$21,'&lt;吸収式&gt;マスタ'!$Z$8:$AB$31,2,0)</f>
        <v>0</v>
      </c>
      <c r="AN35" s="122">
        <f>VLOOKUP(E35&amp;$I$21,'&lt;吸収式&gt;マスタ'!$Z$8:$AB$31,3,0)</f>
        <v>0.16</v>
      </c>
      <c r="AO35" s="146">
        <f>IF(G35="暖房",AN35,AM35)</f>
        <v>0.16</v>
      </c>
      <c r="AP35" s="146" t="str">
        <f>IF(AO35=M35,"○","")</f>
        <v>○</v>
      </c>
      <c r="AQ35" s="123">
        <f t="shared" ref="AQ35:AQ46" si="2">ROUNDDOWN(J35/Q35,1)</f>
        <v>119.8</v>
      </c>
    </row>
    <row r="36" spans="1:43" ht="15" customHeight="1">
      <c r="B36" s="225"/>
      <c r="C36" s="226"/>
      <c r="D36" s="227"/>
      <c r="E36" s="194">
        <v>5</v>
      </c>
      <c r="F36" s="195"/>
      <c r="G36" s="253" t="str">
        <f>VLOOKUP(E36&amp;$I$21,'&lt;吸収式&gt;マスタ'!Z:AC,4,0)</f>
        <v>冷房</v>
      </c>
      <c r="H36" s="254"/>
      <c r="I36" s="254"/>
      <c r="J36" s="267">
        <f t="shared" si="0"/>
        <v>112.9</v>
      </c>
      <c r="K36" s="267"/>
      <c r="L36" s="267"/>
      <c r="M36" s="256">
        <f t="shared" si="1"/>
        <v>0.29599999999999999</v>
      </c>
      <c r="N36" s="257"/>
      <c r="O36" s="257"/>
      <c r="P36" s="258"/>
      <c r="Q36" s="259">
        <f>VLOOKUP(E36&amp;G36&amp;$I$21&amp;$I$6,'&lt;吸収式&gt;マスタ'!$AI$8:$AP$151,8,0)</f>
        <v>0.93</v>
      </c>
      <c r="R36" s="260"/>
      <c r="S36" s="261"/>
      <c r="T36" s="268">
        <v>300</v>
      </c>
      <c r="U36" s="269"/>
      <c r="V36" s="269"/>
      <c r="W36" s="250">
        <f>ROUNDDOWN(AQ36*M36*T36*$I$23/$AM$51,1)</f>
        <v>12524.9</v>
      </c>
      <c r="X36" s="251"/>
      <c r="Y36" s="251"/>
      <c r="Z36" s="251"/>
      <c r="AA36" s="252"/>
      <c r="AB36" s="308"/>
      <c r="AC36" s="309"/>
      <c r="AD36" s="309"/>
      <c r="AE36" s="309"/>
      <c r="AF36" s="309"/>
      <c r="AG36" s="309"/>
      <c r="AH36" s="309"/>
      <c r="AI36" s="111"/>
      <c r="AJ36" s="111"/>
      <c r="AM36" s="122">
        <f>VLOOKUP(E36&amp;$I$21,'&lt;吸収式&gt;マスタ'!$Z$8:$AB$31,2,0)</f>
        <v>0.29599999999999999</v>
      </c>
      <c r="AN36" s="122">
        <f>VLOOKUP(E36&amp;$I$21,'&lt;吸収式&gt;マスタ'!$Z$8:$AB$31,3,0)</f>
        <v>0</v>
      </c>
      <c r="AO36" s="146">
        <f t="shared" ref="AO36:AO46" si="3">IF(G36="暖房",AN36,AM36)</f>
        <v>0.29599999999999999</v>
      </c>
      <c r="AP36" s="146" t="str">
        <f t="shared" ref="AP36:AP46" si="4">IF(AO36=M36,"○","")</f>
        <v>○</v>
      </c>
      <c r="AQ36" s="123">
        <f t="shared" si="2"/>
        <v>121.3</v>
      </c>
    </row>
    <row r="37" spans="1:43" ht="15" customHeight="1">
      <c r="B37" s="225"/>
      <c r="C37" s="226"/>
      <c r="D37" s="227"/>
      <c r="E37" s="194">
        <v>6</v>
      </c>
      <c r="F37" s="195"/>
      <c r="G37" s="253" t="str">
        <f>VLOOKUP(E37&amp;$I$21,'&lt;吸収式&gt;マスタ'!Z:AC,4,0)</f>
        <v>冷房</v>
      </c>
      <c r="H37" s="254"/>
      <c r="I37" s="254"/>
      <c r="J37" s="267">
        <f t="shared" si="0"/>
        <v>112.9</v>
      </c>
      <c r="K37" s="267"/>
      <c r="L37" s="267"/>
      <c r="M37" s="256">
        <f t="shared" si="1"/>
        <v>0.435</v>
      </c>
      <c r="N37" s="257"/>
      <c r="O37" s="257"/>
      <c r="P37" s="258"/>
      <c r="Q37" s="259">
        <f>VLOOKUP(E37&amp;G37&amp;$I$21&amp;$I$6,'&lt;吸収式&gt;マスタ'!$AI$8:$AP$151,8,0)</f>
        <v>1.03</v>
      </c>
      <c r="R37" s="260"/>
      <c r="S37" s="261"/>
      <c r="T37" s="268">
        <v>300</v>
      </c>
      <c r="U37" s="269"/>
      <c r="V37" s="269"/>
      <c r="W37" s="250">
        <f t="shared" ref="W37:W46" si="5">ROUNDDOWN(AQ37*M37*T37*$I$23/$AM$51,1)</f>
        <v>16631.099999999999</v>
      </c>
      <c r="X37" s="251"/>
      <c r="Y37" s="251"/>
      <c r="Z37" s="251"/>
      <c r="AA37" s="252"/>
      <c r="AB37" s="110"/>
      <c r="AC37" s="111"/>
      <c r="AD37" s="111"/>
      <c r="AE37" s="111"/>
      <c r="AF37" s="111"/>
      <c r="AG37" s="111"/>
      <c r="AH37" s="111"/>
      <c r="AI37" s="111"/>
      <c r="AJ37" s="111"/>
      <c r="AM37" s="122">
        <f>VLOOKUP(E37&amp;$I$21,'&lt;吸収式&gt;マスタ'!$Z$8:$AB$31,2,0)</f>
        <v>0.435</v>
      </c>
      <c r="AN37" s="122">
        <f>VLOOKUP(E37&amp;$I$21,'&lt;吸収式&gt;マスタ'!$Z$8:$AB$31,3,0)</f>
        <v>0</v>
      </c>
      <c r="AO37" s="146">
        <f t="shared" si="3"/>
        <v>0.435</v>
      </c>
      <c r="AP37" s="146" t="str">
        <f t="shared" si="4"/>
        <v>○</v>
      </c>
      <c r="AQ37" s="123">
        <f t="shared" si="2"/>
        <v>109.6</v>
      </c>
    </row>
    <row r="38" spans="1:43" ht="15" customHeight="1">
      <c r="B38" s="225"/>
      <c r="C38" s="226"/>
      <c r="D38" s="227"/>
      <c r="E38" s="194">
        <v>7</v>
      </c>
      <c r="F38" s="195"/>
      <c r="G38" s="253" t="str">
        <f>VLOOKUP(E38&amp;$I$21,'&lt;吸収式&gt;マスタ'!Z:AC,4,0)</f>
        <v>冷房</v>
      </c>
      <c r="H38" s="254"/>
      <c r="I38" s="254"/>
      <c r="J38" s="267">
        <f t="shared" si="0"/>
        <v>112.9</v>
      </c>
      <c r="K38" s="267"/>
      <c r="L38" s="267"/>
      <c r="M38" s="256">
        <f t="shared" si="1"/>
        <v>0.64100000000000001</v>
      </c>
      <c r="N38" s="257"/>
      <c r="O38" s="257"/>
      <c r="P38" s="258"/>
      <c r="Q38" s="259">
        <f>VLOOKUP(E38&amp;G38&amp;$I$21&amp;$I$6,'&lt;吸収式&gt;マスタ'!$AI$8:$AP$151,8,0)</f>
        <v>1.02</v>
      </c>
      <c r="R38" s="260"/>
      <c r="S38" s="261"/>
      <c r="T38" s="268">
        <v>300</v>
      </c>
      <c r="U38" s="269"/>
      <c r="V38" s="269"/>
      <c r="W38" s="250">
        <f t="shared" si="5"/>
        <v>24730.6</v>
      </c>
      <c r="X38" s="251"/>
      <c r="Y38" s="251"/>
      <c r="Z38" s="251"/>
      <c r="AA38" s="252"/>
      <c r="AB38" s="308" t="s">
        <v>222</v>
      </c>
      <c r="AC38" s="309"/>
      <c r="AD38" s="309"/>
      <c r="AE38" s="309"/>
      <c r="AF38" s="309"/>
      <c r="AG38" s="309"/>
      <c r="AH38" s="309"/>
      <c r="AI38" s="111"/>
      <c r="AJ38" s="111"/>
      <c r="AM38" s="122">
        <f>VLOOKUP(E38&amp;$I$21,'&lt;吸収式&gt;マスタ'!$Z$8:$AB$31,2,0)</f>
        <v>0.64100000000000001</v>
      </c>
      <c r="AN38" s="122">
        <f>VLOOKUP(E38&amp;$I$21,'&lt;吸収式&gt;マスタ'!$Z$8:$AB$31,3,0)</f>
        <v>0</v>
      </c>
      <c r="AO38" s="146">
        <f t="shared" si="3"/>
        <v>0.64100000000000001</v>
      </c>
      <c r="AP38" s="146" t="str">
        <f t="shared" si="4"/>
        <v>○</v>
      </c>
      <c r="AQ38" s="123">
        <f t="shared" si="2"/>
        <v>110.6</v>
      </c>
    </row>
    <row r="39" spans="1:43" ht="15" customHeight="1">
      <c r="B39" s="225"/>
      <c r="C39" s="226"/>
      <c r="D39" s="227"/>
      <c r="E39" s="194">
        <v>8</v>
      </c>
      <c r="F39" s="195"/>
      <c r="G39" s="253" t="str">
        <f>VLOOKUP(E39&amp;$I$21,'&lt;吸収式&gt;マスタ'!Z:AC,4,0)</f>
        <v>冷房</v>
      </c>
      <c r="H39" s="254"/>
      <c r="I39" s="254"/>
      <c r="J39" s="267">
        <f t="shared" si="0"/>
        <v>112.9</v>
      </c>
      <c r="K39" s="267"/>
      <c r="L39" s="267"/>
      <c r="M39" s="256">
        <f t="shared" si="1"/>
        <v>0.69299999999999995</v>
      </c>
      <c r="N39" s="257"/>
      <c r="O39" s="257"/>
      <c r="P39" s="258"/>
      <c r="Q39" s="259">
        <f>VLOOKUP(E39&amp;G39&amp;$I$21&amp;$I$6,'&lt;吸収式&gt;マスタ'!$AI$8:$AP$151,8,0)</f>
        <v>1.01</v>
      </c>
      <c r="R39" s="260"/>
      <c r="S39" s="261"/>
      <c r="T39" s="268">
        <v>300</v>
      </c>
      <c r="U39" s="269"/>
      <c r="V39" s="269"/>
      <c r="W39" s="250">
        <f t="shared" si="5"/>
        <v>27002.799999999999</v>
      </c>
      <c r="X39" s="251"/>
      <c r="Y39" s="251"/>
      <c r="Z39" s="251"/>
      <c r="AA39" s="252"/>
      <c r="AB39" s="308"/>
      <c r="AC39" s="309"/>
      <c r="AD39" s="309"/>
      <c r="AE39" s="309"/>
      <c r="AF39" s="309"/>
      <c r="AG39" s="309"/>
      <c r="AH39" s="309"/>
      <c r="AI39" s="111"/>
      <c r="AJ39" s="111"/>
      <c r="AM39" s="122">
        <f>VLOOKUP(E39&amp;$I$21,'&lt;吸収式&gt;マスタ'!$Z$8:$AB$31,2,0)</f>
        <v>0.69299999999999995</v>
      </c>
      <c r="AN39" s="122">
        <f>VLOOKUP(E39&amp;$I$21,'&lt;吸収式&gt;マスタ'!$Z$8:$AB$31,3,0)</f>
        <v>0</v>
      </c>
      <c r="AO39" s="146">
        <f t="shared" si="3"/>
        <v>0.69299999999999995</v>
      </c>
      <c r="AP39" s="146" t="str">
        <f t="shared" si="4"/>
        <v>○</v>
      </c>
      <c r="AQ39" s="123">
        <f t="shared" si="2"/>
        <v>111.7</v>
      </c>
    </row>
    <row r="40" spans="1:43" ht="15" customHeight="1">
      <c r="B40" s="225"/>
      <c r="C40" s="226"/>
      <c r="D40" s="227"/>
      <c r="E40" s="194">
        <v>9</v>
      </c>
      <c r="F40" s="195"/>
      <c r="G40" s="253" t="str">
        <f>VLOOKUP(E40&amp;$I$21,'&lt;吸収式&gt;マスタ'!Z:AC,4,0)</f>
        <v>冷房</v>
      </c>
      <c r="H40" s="254"/>
      <c r="I40" s="254"/>
      <c r="J40" s="267">
        <f t="shared" si="0"/>
        <v>112.9</v>
      </c>
      <c r="K40" s="267"/>
      <c r="L40" s="267"/>
      <c r="M40" s="256">
        <f t="shared" si="1"/>
        <v>0.47</v>
      </c>
      <c r="N40" s="257"/>
      <c r="O40" s="257"/>
      <c r="P40" s="258"/>
      <c r="Q40" s="259">
        <f>VLOOKUP(E40&amp;G40&amp;$I$21&amp;$I$6,'&lt;吸収式&gt;マスタ'!$AI$8:$AP$151,8,0)</f>
        <v>1.03</v>
      </c>
      <c r="R40" s="260"/>
      <c r="S40" s="261"/>
      <c r="T40" s="268">
        <v>300</v>
      </c>
      <c r="U40" s="269"/>
      <c r="V40" s="269"/>
      <c r="W40" s="250">
        <f t="shared" si="5"/>
        <v>17969.3</v>
      </c>
      <c r="X40" s="251"/>
      <c r="Y40" s="251"/>
      <c r="Z40" s="251"/>
      <c r="AA40" s="252"/>
      <c r="AB40" s="308"/>
      <c r="AC40" s="309"/>
      <c r="AD40" s="309"/>
      <c r="AE40" s="309"/>
      <c r="AF40" s="309"/>
      <c r="AG40" s="309"/>
      <c r="AH40" s="309"/>
      <c r="AI40" s="111"/>
      <c r="AJ40" s="111"/>
      <c r="AM40" s="122">
        <f>VLOOKUP(E40&amp;$I$21,'&lt;吸収式&gt;マスタ'!$Z$8:$AB$31,2,0)</f>
        <v>0.47</v>
      </c>
      <c r="AN40" s="122">
        <f>VLOOKUP(E40&amp;$I$21,'&lt;吸収式&gt;マスタ'!$Z$8:$AB$31,3,0)</f>
        <v>0</v>
      </c>
      <c r="AO40" s="146">
        <f t="shared" si="3"/>
        <v>0.47</v>
      </c>
      <c r="AP40" s="146" t="str">
        <f t="shared" si="4"/>
        <v>○</v>
      </c>
      <c r="AQ40" s="123">
        <f t="shared" si="2"/>
        <v>109.6</v>
      </c>
    </row>
    <row r="41" spans="1:43" ht="15" customHeight="1">
      <c r="B41" s="225"/>
      <c r="C41" s="226"/>
      <c r="D41" s="227"/>
      <c r="E41" s="194">
        <v>10</v>
      </c>
      <c r="F41" s="195"/>
      <c r="G41" s="253" t="str">
        <f>VLOOKUP(E41&amp;$I$21,'&lt;吸収式&gt;マスタ'!Z:AC,4,0)</f>
        <v>冷房</v>
      </c>
      <c r="H41" s="254"/>
      <c r="I41" s="254"/>
      <c r="J41" s="267">
        <f t="shared" si="0"/>
        <v>112.9</v>
      </c>
      <c r="K41" s="267"/>
      <c r="L41" s="267"/>
      <c r="M41" s="256">
        <f t="shared" si="1"/>
        <v>0.36399999999999999</v>
      </c>
      <c r="N41" s="257"/>
      <c r="O41" s="257"/>
      <c r="P41" s="258"/>
      <c r="Q41" s="259">
        <f>VLOOKUP(E41&amp;G41&amp;$I$21&amp;$I$6,'&lt;吸収式&gt;マスタ'!$AI$8:$AP$151,8,0)</f>
        <v>1.03</v>
      </c>
      <c r="R41" s="260"/>
      <c r="S41" s="261"/>
      <c r="T41" s="268">
        <v>300</v>
      </c>
      <c r="U41" s="269"/>
      <c r="V41" s="269"/>
      <c r="W41" s="250">
        <f t="shared" si="5"/>
        <v>13916.6</v>
      </c>
      <c r="X41" s="251"/>
      <c r="Y41" s="251"/>
      <c r="Z41" s="251"/>
      <c r="AA41" s="252"/>
      <c r="AB41" s="308"/>
      <c r="AC41" s="309"/>
      <c r="AD41" s="309"/>
      <c r="AE41" s="309"/>
      <c r="AF41" s="309"/>
      <c r="AG41" s="309"/>
      <c r="AH41" s="309"/>
      <c r="AI41" s="111"/>
      <c r="AJ41" s="111"/>
      <c r="AM41" s="122">
        <f>VLOOKUP(E41&amp;$I$21,'&lt;吸収式&gt;マスタ'!$Z$8:$AB$31,2,0)</f>
        <v>0.36399999999999999</v>
      </c>
      <c r="AN41" s="122">
        <f>VLOOKUP(E41&amp;$I$21,'&lt;吸収式&gt;マスタ'!$Z$8:$AB$31,3,0)</f>
        <v>0</v>
      </c>
      <c r="AO41" s="146">
        <f t="shared" si="3"/>
        <v>0.36399999999999999</v>
      </c>
      <c r="AP41" s="146" t="str">
        <f t="shared" si="4"/>
        <v>○</v>
      </c>
      <c r="AQ41" s="123">
        <f t="shared" si="2"/>
        <v>109.6</v>
      </c>
    </row>
    <row r="42" spans="1:43" ht="15" customHeight="1">
      <c r="B42" s="225"/>
      <c r="C42" s="226"/>
      <c r="D42" s="227"/>
      <c r="E42" s="194">
        <v>11</v>
      </c>
      <c r="F42" s="195"/>
      <c r="G42" s="253" t="str">
        <f>VLOOKUP(E42&amp;$I$21,'&lt;吸収式&gt;マスタ'!Z:AC,4,0)</f>
        <v>暖房</v>
      </c>
      <c r="H42" s="254"/>
      <c r="I42" s="254"/>
      <c r="J42" s="267">
        <f t="shared" si="0"/>
        <v>107.9</v>
      </c>
      <c r="K42" s="267"/>
      <c r="L42" s="267"/>
      <c r="M42" s="256">
        <f t="shared" si="1"/>
        <v>0.154</v>
      </c>
      <c r="N42" s="257"/>
      <c r="O42" s="257"/>
      <c r="P42" s="258"/>
      <c r="Q42" s="259">
        <f>VLOOKUP(E42&amp;G42&amp;$I$21&amp;$I$6,'&lt;吸収式&gt;マスタ'!$AI$8:$AP$151,8,0)</f>
        <v>0.9</v>
      </c>
      <c r="R42" s="260"/>
      <c r="S42" s="261"/>
      <c r="T42" s="268">
        <v>300</v>
      </c>
      <c r="U42" s="269"/>
      <c r="V42" s="269"/>
      <c r="W42" s="250">
        <f t="shared" si="5"/>
        <v>6435.7</v>
      </c>
      <c r="X42" s="251"/>
      <c r="Y42" s="251"/>
      <c r="Z42" s="251"/>
      <c r="AA42" s="252"/>
      <c r="AB42" s="110"/>
      <c r="AC42" s="111"/>
      <c r="AD42" s="111"/>
      <c r="AE42" s="111"/>
      <c r="AF42" s="111"/>
      <c r="AG42" s="111"/>
      <c r="AH42" s="111"/>
      <c r="AI42" s="111"/>
      <c r="AJ42" s="111"/>
      <c r="AM42" s="122">
        <f>VLOOKUP(E42&amp;$I$21,'&lt;吸収式&gt;マスタ'!$Z$8:$AB$31,2,0)</f>
        <v>0</v>
      </c>
      <c r="AN42" s="122">
        <f>VLOOKUP(E42&amp;$I$21,'&lt;吸収式&gt;マスタ'!$Z$8:$AB$31,3,0)</f>
        <v>0.154</v>
      </c>
      <c r="AO42" s="146">
        <f t="shared" si="3"/>
        <v>0.154</v>
      </c>
      <c r="AP42" s="146" t="str">
        <f t="shared" si="4"/>
        <v>○</v>
      </c>
      <c r="AQ42" s="123">
        <f t="shared" si="2"/>
        <v>119.8</v>
      </c>
    </row>
    <row r="43" spans="1:43" ht="15" customHeight="1">
      <c r="B43" s="225"/>
      <c r="C43" s="226"/>
      <c r="D43" s="227"/>
      <c r="E43" s="194">
        <v>12</v>
      </c>
      <c r="F43" s="195"/>
      <c r="G43" s="253" t="str">
        <f>VLOOKUP(E43&amp;$I$21,'&lt;吸収式&gt;マスタ'!Z:AC,4,0)</f>
        <v>暖房</v>
      </c>
      <c r="H43" s="254"/>
      <c r="I43" s="254"/>
      <c r="J43" s="267">
        <f t="shared" si="0"/>
        <v>107.9</v>
      </c>
      <c r="K43" s="267"/>
      <c r="L43" s="267"/>
      <c r="M43" s="256">
        <f t="shared" si="1"/>
        <v>0.371</v>
      </c>
      <c r="N43" s="257"/>
      <c r="O43" s="257"/>
      <c r="P43" s="258"/>
      <c r="Q43" s="259">
        <f>VLOOKUP(E43&amp;G43&amp;$I$21&amp;$I$6,'&lt;吸収式&gt;マスタ'!$AI$8:$AP$151,8,0)</f>
        <v>1</v>
      </c>
      <c r="R43" s="260"/>
      <c r="S43" s="261"/>
      <c r="T43" s="268">
        <v>300</v>
      </c>
      <c r="U43" s="269"/>
      <c r="V43" s="269"/>
      <c r="W43" s="250">
        <f t="shared" si="5"/>
        <v>13964.2</v>
      </c>
      <c r="X43" s="251"/>
      <c r="Y43" s="251"/>
      <c r="Z43" s="251"/>
      <c r="AA43" s="252"/>
      <c r="AB43" s="308" t="s">
        <v>228</v>
      </c>
      <c r="AC43" s="309"/>
      <c r="AD43" s="309"/>
      <c r="AE43" s="309"/>
      <c r="AF43" s="309"/>
      <c r="AG43" s="309"/>
      <c r="AH43" s="309"/>
      <c r="AI43" s="111"/>
      <c r="AJ43" s="111"/>
      <c r="AM43" s="122">
        <f>VLOOKUP(E43&amp;$I$21,'&lt;吸収式&gt;マスタ'!$Z$8:$AB$31,2,0)</f>
        <v>0</v>
      </c>
      <c r="AN43" s="122">
        <f>VLOOKUP(E43&amp;$I$21,'&lt;吸収式&gt;マスタ'!$Z$8:$AB$31,3,0)</f>
        <v>0.371</v>
      </c>
      <c r="AO43" s="146">
        <f t="shared" si="3"/>
        <v>0.371</v>
      </c>
      <c r="AP43" s="146" t="str">
        <f t="shared" si="4"/>
        <v>○</v>
      </c>
      <c r="AQ43" s="123">
        <f t="shared" si="2"/>
        <v>107.9</v>
      </c>
    </row>
    <row r="44" spans="1:43" ht="15" customHeight="1">
      <c r="B44" s="225"/>
      <c r="C44" s="226"/>
      <c r="D44" s="227"/>
      <c r="E44" s="194">
        <v>1</v>
      </c>
      <c r="F44" s="195"/>
      <c r="G44" s="253" t="str">
        <f>VLOOKUP(E44&amp;$I$21,'&lt;吸収式&gt;マスタ'!Z:AC,4,0)</f>
        <v>暖房</v>
      </c>
      <c r="H44" s="254"/>
      <c r="I44" s="254"/>
      <c r="J44" s="267">
        <f t="shared" si="0"/>
        <v>107.9</v>
      </c>
      <c r="K44" s="267"/>
      <c r="L44" s="267"/>
      <c r="M44" s="256">
        <f t="shared" si="1"/>
        <v>0.56200000000000006</v>
      </c>
      <c r="N44" s="257"/>
      <c r="O44" s="257"/>
      <c r="P44" s="258"/>
      <c r="Q44" s="259">
        <f>VLOOKUP(E44&amp;G44&amp;$I$21&amp;$I$6,'&lt;吸収式&gt;マスタ'!$AI$8:$AP$151,8,0)</f>
        <v>1</v>
      </c>
      <c r="R44" s="260"/>
      <c r="S44" s="261"/>
      <c r="T44" s="268">
        <v>300</v>
      </c>
      <c r="U44" s="269"/>
      <c r="V44" s="269"/>
      <c r="W44" s="250">
        <f t="shared" si="5"/>
        <v>21153.4</v>
      </c>
      <c r="X44" s="251"/>
      <c r="Y44" s="251"/>
      <c r="Z44" s="251"/>
      <c r="AA44" s="252"/>
      <c r="AB44" s="308"/>
      <c r="AC44" s="309"/>
      <c r="AD44" s="309"/>
      <c r="AE44" s="309"/>
      <c r="AF44" s="309"/>
      <c r="AG44" s="309"/>
      <c r="AH44" s="309"/>
      <c r="AI44" s="111"/>
      <c r="AJ44" s="111"/>
      <c r="AM44" s="122">
        <f>VLOOKUP(E44&amp;$I$21,'&lt;吸収式&gt;マスタ'!$Z$8:$AB$31,2,0)</f>
        <v>0</v>
      </c>
      <c r="AN44" s="122">
        <f>VLOOKUP(E44&amp;$I$21,'&lt;吸収式&gt;マスタ'!$Z$8:$AB$31,3,0)</f>
        <v>0.56200000000000006</v>
      </c>
      <c r="AO44" s="146">
        <f t="shared" si="3"/>
        <v>0.56200000000000006</v>
      </c>
      <c r="AP44" s="146" t="str">
        <f t="shared" si="4"/>
        <v>○</v>
      </c>
      <c r="AQ44" s="123">
        <f t="shared" si="2"/>
        <v>107.9</v>
      </c>
    </row>
    <row r="45" spans="1:43" ht="15" customHeight="1">
      <c r="A45" s="38"/>
      <c r="B45" s="225"/>
      <c r="C45" s="226"/>
      <c r="D45" s="227"/>
      <c r="E45" s="194">
        <v>2</v>
      </c>
      <c r="F45" s="195"/>
      <c r="G45" s="253" t="str">
        <f>VLOOKUP(E45&amp;$I$21,'&lt;吸収式&gt;マスタ'!Z:AC,4,0)</f>
        <v>暖房</v>
      </c>
      <c r="H45" s="254"/>
      <c r="I45" s="254"/>
      <c r="J45" s="267">
        <f t="shared" si="0"/>
        <v>107.9</v>
      </c>
      <c r="K45" s="267"/>
      <c r="L45" s="267"/>
      <c r="M45" s="256">
        <f t="shared" si="1"/>
        <v>0.56200000000000006</v>
      </c>
      <c r="N45" s="257"/>
      <c r="O45" s="257"/>
      <c r="P45" s="258"/>
      <c r="Q45" s="259">
        <f>VLOOKUP(E45&amp;G45&amp;$I$21&amp;$I$6,'&lt;吸収式&gt;マスタ'!$AI$8:$AP$151,8,0)</f>
        <v>1</v>
      </c>
      <c r="R45" s="260"/>
      <c r="S45" s="261"/>
      <c r="T45" s="268">
        <v>300</v>
      </c>
      <c r="U45" s="269"/>
      <c r="V45" s="269"/>
      <c r="W45" s="250">
        <f t="shared" si="5"/>
        <v>21153.4</v>
      </c>
      <c r="X45" s="251"/>
      <c r="Y45" s="251"/>
      <c r="Z45" s="251"/>
      <c r="AA45" s="252"/>
      <c r="AB45" s="110"/>
      <c r="AC45" s="111"/>
      <c r="AD45" s="111"/>
      <c r="AE45" s="111"/>
      <c r="AF45" s="111"/>
      <c r="AG45" s="111"/>
      <c r="AH45" s="111"/>
      <c r="AI45" s="111"/>
      <c r="AJ45" s="111"/>
      <c r="AM45" s="122">
        <f>VLOOKUP(E45&amp;$I$21,'&lt;吸収式&gt;マスタ'!$Z$8:$AB$31,2,0)</f>
        <v>0</v>
      </c>
      <c r="AN45" s="122">
        <f>VLOOKUP(E45&amp;$I$21,'&lt;吸収式&gt;マスタ'!$Z$8:$AB$31,3,0)</f>
        <v>0.56200000000000006</v>
      </c>
      <c r="AO45" s="146">
        <f t="shared" si="3"/>
        <v>0.56200000000000006</v>
      </c>
      <c r="AP45" s="146" t="str">
        <f t="shared" si="4"/>
        <v>○</v>
      </c>
      <c r="AQ45" s="123">
        <f t="shared" si="2"/>
        <v>107.9</v>
      </c>
    </row>
    <row r="46" spans="1:43" ht="15" customHeight="1" thickBot="1">
      <c r="A46" s="38"/>
      <c r="B46" s="225"/>
      <c r="C46" s="226"/>
      <c r="D46" s="227"/>
      <c r="E46" s="194">
        <v>3</v>
      </c>
      <c r="F46" s="195"/>
      <c r="G46" s="253" t="str">
        <f>VLOOKUP(E46&amp;$I$21,'&lt;吸収式&gt;マスタ'!Z:AC,4,0)</f>
        <v>暖房</v>
      </c>
      <c r="H46" s="254"/>
      <c r="I46" s="254"/>
      <c r="J46" s="255">
        <f t="shared" si="0"/>
        <v>107.9</v>
      </c>
      <c r="K46" s="255"/>
      <c r="L46" s="255"/>
      <c r="M46" s="256">
        <f t="shared" si="1"/>
        <v>0.27300000000000002</v>
      </c>
      <c r="N46" s="257"/>
      <c r="O46" s="257"/>
      <c r="P46" s="258"/>
      <c r="Q46" s="259">
        <f>VLOOKUP(E46&amp;G46&amp;$I$21&amp;$I$6,'&lt;吸収式&gt;マスタ'!$AI$8:$AP$151,8,0)</f>
        <v>0.9</v>
      </c>
      <c r="R46" s="260"/>
      <c r="S46" s="261"/>
      <c r="T46" s="262">
        <v>300</v>
      </c>
      <c r="U46" s="263"/>
      <c r="V46" s="263"/>
      <c r="W46" s="264">
        <f t="shared" si="5"/>
        <v>11408.8</v>
      </c>
      <c r="X46" s="265"/>
      <c r="Y46" s="265"/>
      <c r="Z46" s="265"/>
      <c r="AA46" s="266"/>
      <c r="AB46" s="310" t="s">
        <v>229</v>
      </c>
      <c r="AC46" s="311"/>
      <c r="AD46" s="311"/>
      <c r="AE46" s="311"/>
      <c r="AF46" s="311"/>
      <c r="AG46" s="311"/>
      <c r="AH46" s="311"/>
      <c r="AI46" s="111"/>
      <c r="AJ46" s="111"/>
      <c r="AM46" s="122">
        <f>VLOOKUP(E46&amp;$I$21,'&lt;吸収式&gt;マスタ'!$Z$8:$AB$31,2,0)</f>
        <v>0</v>
      </c>
      <c r="AN46" s="122">
        <f>VLOOKUP(E46&amp;$I$21,'&lt;吸収式&gt;マスタ'!$Z$8:$AB$31,3,0)</f>
        <v>0.27300000000000002</v>
      </c>
      <c r="AO46" s="146">
        <f t="shared" si="3"/>
        <v>0.27300000000000002</v>
      </c>
      <c r="AP46" s="146" t="str">
        <f t="shared" si="4"/>
        <v>○</v>
      </c>
      <c r="AQ46" s="123">
        <f t="shared" si="2"/>
        <v>119.8</v>
      </c>
    </row>
    <row r="47" spans="1:43" ht="15" customHeight="1" thickTop="1">
      <c r="A47" s="38"/>
      <c r="B47" s="228"/>
      <c r="C47" s="229"/>
      <c r="D47" s="230"/>
      <c r="E47" s="178" t="s">
        <v>58</v>
      </c>
      <c r="F47" s="179"/>
      <c r="G47" s="45"/>
      <c r="H47" s="46"/>
      <c r="I47" s="46"/>
      <c r="J47" s="212" t="s">
        <v>90</v>
      </c>
      <c r="K47" s="212"/>
      <c r="L47" s="212"/>
      <c r="M47" s="213" t="s">
        <v>90</v>
      </c>
      <c r="N47" s="214"/>
      <c r="O47" s="214"/>
      <c r="P47" s="215"/>
      <c r="Q47" s="216" t="s">
        <v>90</v>
      </c>
      <c r="R47" s="217"/>
      <c r="S47" s="218"/>
      <c r="T47" s="186">
        <f>SUM(T35:V46)</f>
        <v>3600</v>
      </c>
      <c r="U47" s="186"/>
      <c r="V47" s="187"/>
      <c r="W47" s="219">
        <f>SUM(W35:Y46)</f>
        <v>193577.3</v>
      </c>
      <c r="X47" s="220"/>
      <c r="Y47" s="220"/>
      <c r="Z47" s="220"/>
      <c r="AA47" s="221"/>
      <c r="AB47" s="311"/>
      <c r="AC47" s="311"/>
      <c r="AD47" s="311"/>
      <c r="AE47" s="311"/>
      <c r="AF47" s="311"/>
      <c r="AG47" s="311"/>
      <c r="AH47" s="311"/>
      <c r="AI47" s="111"/>
      <c r="AJ47" s="111"/>
      <c r="AP47" s="95">
        <f>COUNTIF(AP35:AP46,"○")</f>
        <v>12</v>
      </c>
    </row>
    <row r="48" spans="1:43" ht="3" customHeight="1">
      <c r="B48" s="37"/>
      <c r="C48" s="37"/>
      <c r="D48" s="37"/>
      <c r="E48" s="47"/>
      <c r="F48" s="47"/>
      <c r="G48" s="47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9"/>
      <c r="V48" s="49"/>
      <c r="W48" s="50"/>
      <c r="X48" s="50"/>
      <c r="Y48" s="50"/>
      <c r="Z48" s="50"/>
      <c r="AA48" s="50"/>
      <c r="AB48" s="311"/>
      <c r="AC48" s="311"/>
      <c r="AD48" s="311"/>
      <c r="AE48" s="311"/>
      <c r="AF48" s="311"/>
      <c r="AG48" s="311"/>
      <c r="AH48" s="311"/>
      <c r="AI48" s="89"/>
      <c r="AJ48" s="42"/>
    </row>
    <row r="49" spans="1:46" ht="15" customHeight="1">
      <c r="A49" s="86" t="s">
        <v>224</v>
      </c>
      <c r="B49" s="42"/>
      <c r="C49" s="42"/>
      <c r="D49" s="42"/>
      <c r="E49" s="42"/>
      <c r="F49" s="42"/>
      <c r="G49" s="42"/>
      <c r="H49" s="42"/>
      <c r="I49" s="52"/>
      <c r="J49" s="52"/>
      <c r="K49" s="52"/>
      <c r="L49" s="52"/>
      <c r="M49" s="37"/>
      <c r="N49" s="37"/>
      <c r="O49" s="37"/>
      <c r="P49" s="42"/>
      <c r="Q49" s="42"/>
      <c r="R49" s="42"/>
      <c r="S49" s="42"/>
      <c r="T49" s="42"/>
      <c r="U49" s="53"/>
      <c r="V49" s="53"/>
      <c r="W49" s="54"/>
      <c r="X49" s="54"/>
      <c r="Y49" s="54"/>
      <c r="Z49" s="54"/>
      <c r="AA49" s="54"/>
      <c r="AB49" s="42"/>
      <c r="AC49" s="42"/>
      <c r="AD49" s="42"/>
      <c r="AE49" s="42"/>
      <c r="AF49" s="89"/>
      <c r="AG49" s="89"/>
      <c r="AH49" s="89"/>
      <c r="AI49" s="89"/>
      <c r="AJ49" s="42"/>
    </row>
    <row r="50" spans="1:46" ht="15" customHeight="1">
      <c r="B50" s="222" t="s">
        <v>92</v>
      </c>
      <c r="C50" s="223"/>
      <c r="D50" s="224"/>
      <c r="E50" s="170" t="s">
        <v>56</v>
      </c>
      <c r="F50" s="172"/>
      <c r="G50" s="170" t="s">
        <v>14</v>
      </c>
      <c r="H50" s="171"/>
      <c r="I50" s="172"/>
      <c r="J50" s="170" t="s">
        <v>95</v>
      </c>
      <c r="K50" s="171"/>
      <c r="L50" s="171"/>
      <c r="M50" s="171"/>
      <c r="N50" s="171"/>
      <c r="O50" s="171"/>
      <c r="P50" s="171"/>
      <c r="Q50" s="171"/>
      <c r="R50" s="171"/>
      <c r="S50" s="172"/>
      <c r="T50" s="237" t="s">
        <v>110</v>
      </c>
      <c r="U50" s="238"/>
      <c r="V50" s="239"/>
      <c r="W50" s="240" t="s">
        <v>113</v>
      </c>
      <c r="X50" s="241"/>
      <c r="Y50" s="241"/>
      <c r="Z50" s="241"/>
      <c r="AA50" s="242"/>
      <c r="AB50" s="243"/>
      <c r="AC50" s="244"/>
      <c r="AD50" s="244"/>
      <c r="AE50" s="244"/>
      <c r="AF50" s="244"/>
      <c r="AG50" s="244"/>
      <c r="AH50" s="244"/>
      <c r="AI50" s="244"/>
      <c r="AJ50" s="244"/>
      <c r="AM50" s="121" t="s">
        <v>98</v>
      </c>
      <c r="AN50" s="121" t="s">
        <v>99</v>
      </c>
    </row>
    <row r="51" spans="1:46" s="51" customFormat="1" ht="15" customHeight="1" thickBot="1">
      <c r="A51" s="35"/>
      <c r="B51" s="225"/>
      <c r="C51" s="226"/>
      <c r="D51" s="227"/>
      <c r="E51" s="154"/>
      <c r="F51" s="156"/>
      <c r="G51" s="154"/>
      <c r="H51" s="155"/>
      <c r="I51" s="156"/>
      <c r="J51" s="154" t="s">
        <v>112</v>
      </c>
      <c r="K51" s="155"/>
      <c r="L51" s="155"/>
      <c r="M51" s="155"/>
      <c r="N51" s="155"/>
      <c r="O51" s="155"/>
      <c r="P51" s="155"/>
      <c r="Q51" s="155"/>
      <c r="R51" s="155"/>
      <c r="S51" s="156"/>
      <c r="T51" s="245" t="s">
        <v>132</v>
      </c>
      <c r="U51" s="246"/>
      <c r="V51" s="247"/>
      <c r="W51" s="231" t="s">
        <v>115</v>
      </c>
      <c r="X51" s="232"/>
      <c r="Y51" s="232"/>
      <c r="Z51" s="232"/>
      <c r="AA51" s="233"/>
      <c r="AB51" s="248"/>
      <c r="AC51" s="249"/>
      <c r="AD51" s="249"/>
      <c r="AE51" s="249"/>
      <c r="AF51" s="249"/>
      <c r="AG51" s="249"/>
      <c r="AH51" s="249"/>
      <c r="AI51" s="249"/>
      <c r="AJ51" s="249"/>
      <c r="AK51" s="35"/>
      <c r="AL51" s="35"/>
      <c r="AM51" s="121">
        <f>VLOOKUP(I18,'&lt;吸収式&gt;マスタ'!F7:M14,7,0)</f>
        <v>0.86</v>
      </c>
      <c r="AN51" s="121">
        <f>VLOOKUP(I18,'&lt;吸収式&gt;マスタ'!F7:M14,8,0)</f>
        <v>39.1</v>
      </c>
      <c r="AO51" s="147"/>
      <c r="AP51" s="147"/>
      <c r="AQ51" s="147"/>
      <c r="AT51" s="127"/>
    </row>
    <row r="52" spans="1:46" s="51" customFormat="1" ht="15" customHeight="1" thickTop="1">
      <c r="A52" s="35"/>
      <c r="B52" s="225"/>
      <c r="C52" s="226"/>
      <c r="D52" s="227"/>
      <c r="E52" s="194">
        <v>4</v>
      </c>
      <c r="F52" s="195"/>
      <c r="G52" s="196" t="str">
        <f>G35</f>
        <v>暖房</v>
      </c>
      <c r="H52" s="197"/>
      <c r="I52" s="197"/>
      <c r="J52" s="198">
        <f t="shared" ref="J52:J63" si="6">IF(G52="冷房",$AN$29,0)</f>
        <v>0</v>
      </c>
      <c r="K52" s="199"/>
      <c r="L52" s="199"/>
      <c r="M52" s="199"/>
      <c r="N52" s="199"/>
      <c r="O52" s="199"/>
      <c r="P52" s="199"/>
      <c r="Q52" s="199"/>
      <c r="R52" s="199"/>
      <c r="S52" s="200"/>
      <c r="T52" s="207">
        <f t="shared" ref="T52:T63" si="7">T35</f>
        <v>300</v>
      </c>
      <c r="U52" s="208"/>
      <c r="V52" s="208"/>
      <c r="W52" s="234">
        <f t="shared" ref="W52:W63" si="8">ROUNDDOWN(J52*T52*$I$23,1)</f>
        <v>0</v>
      </c>
      <c r="X52" s="235"/>
      <c r="Y52" s="235"/>
      <c r="Z52" s="235"/>
      <c r="AA52" s="236"/>
      <c r="AB52" s="206"/>
      <c r="AC52" s="206"/>
      <c r="AD52" s="206"/>
      <c r="AE52" s="206"/>
      <c r="AF52" s="206"/>
      <c r="AG52" s="206"/>
      <c r="AH52" s="206"/>
      <c r="AI52" s="206"/>
      <c r="AJ52" s="206"/>
      <c r="AK52" s="35"/>
      <c r="AL52" s="35"/>
      <c r="AM52" s="95"/>
      <c r="AN52" s="95"/>
      <c r="AO52" s="95"/>
      <c r="AP52" s="95"/>
      <c r="AQ52" s="95"/>
      <c r="AT52" s="127"/>
    </row>
    <row r="53" spans="1:46" s="51" customFormat="1" ht="15" customHeight="1">
      <c r="A53" s="35"/>
      <c r="B53" s="225"/>
      <c r="C53" s="226"/>
      <c r="D53" s="227"/>
      <c r="E53" s="194">
        <v>5</v>
      </c>
      <c r="F53" s="195"/>
      <c r="G53" s="196" t="str">
        <f t="shared" ref="G53:G63" si="9">G36</f>
        <v>冷房</v>
      </c>
      <c r="H53" s="197"/>
      <c r="I53" s="197"/>
      <c r="J53" s="198">
        <f t="shared" si="6"/>
        <v>42.7</v>
      </c>
      <c r="K53" s="199"/>
      <c r="L53" s="199"/>
      <c r="M53" s="199"/>
      <c r="N53" s="199"/>
      <c r="O53" s="199"/>
      <c r="P53" s="199"/>
      <c r="Q53" s="199"/>
      <c r="R53" s="199"/>
      <c r="S53" s="200"/>
      <c r="T53" s="207">
        <f t="shared" si="7"/>
        <v>300</v>
      </c>
      <c r="U53" s="208"/>
      <c r="V53" s="208"/>
      <c r="W53" s="209">
        <f t="shared" si="8"/>
        <v>12810</v>
      </c>
      <c r="X53" s="210"/>
      <c r="Y53" s="210"/>
      <c r="Z53" s="210"/>
      <c r="AA53" s="211"/>
      <c r="AB53" s="206"/>
      <c r="AC53" s="206"/>
      <c r="AD53" s="206"/>
      <c r="AE53" s="206"/>
      <c r="AF53" s="206"/>
      <c r="AG53" s="206"/>
      <c r="AH53" s="206"/>
      <c r="AI53" s="206"/>
      <c r="AJ53" s="206"/>
      <c r="AK53" s="35"/>
      <c r="AL53" s="35"/>
      <c r="AM53" s="95"/>
      <c r="AN53" s="95"/>
      <c r="AO53" s="95"/>
      <c r="AP53" s="95"/>
      <c r="AQ53" s="95"/>
      <c r="AT53" s="127"/>
    </row>
    <row r="54" spans="1:46" s="51" customFormat="1" ht="15" customHeight="1">
      <c r="A54" s="35"/>
      <c r="B54" s="225"/>
      <c r="C54" s="226"/>
      <c r="D54" s="227"/>
      <c r="E54" s="194">
        <v>6</v>
      </c>
      <c r="F54" s="195"/>
      <c r="G54" s="196" t="str">
        <f t="shared" si="9"/>
        <v>冷房</v>
      </c>
      <c r="H54" s="197"/>
      <c r="I54" s="197"/>
      <c r="J54" s="198">
        <f t="shared" si="6"/>
        <v>42.7</v>
      </c>
      <c r="K54" s="199"/>
      <c r="L54" s="199"/>
      <c r="M54" s="199"/>
      <c r="N54" s="199"/>
      <c r="O54" s="199"/>
      <c r="P54" s="199"/>
      <c r="Q54" s="199"/>
      <c r="R54" s="199"/>
      <c r="S54" s="200"/>
      <c r="T54" s="207">
        <f t="shared" si="7"/>
        <v>300</v>
      </c>
      <c r="U54" s="208"/>
      <c r="V54" s="208"/>
      <c r="W54" s="209">
        <f t="shared" si="8"/>
        <v>12810</v>
      </c>
      <c r="X54" s="210"/>
      <c r="Y54" s="210"/>
      <c r="Z54" s="210"/>
      <c r="AA54" s="211"/>
      <c r="AB54" s="206"/>
      <c r="AC54" s="206"/>
      <c r="AD54" s="206"/>
      <c r="AE54" s="206"/>
      <c r="AF54" s="206"/>
      <c r="AG54" s="206"/>
      <c r="AH54" s="206"/>
      <c r="AI54" s="206"/>
      <c r="AJ54" s="206"/>
      <c r="AK54" s="35"/>
      <c r="AL54" s="35"/>
      <c r="AM54" s="95"/>
      <c r="AN54" s="95"/>
      <c r="AO54" s="95"/>
      <c r="AP54" s="95"/>
      <c r="AQ54" s="95"/>
      <c r="AT54" s="127"/>
    </row>
    <row r="55" spans="1:46" s="51" customFormat="1" ht="15" customHeight="1">
      <c r="A55" s="35"/>
      <c r="B55" s="225"/>
      <c r="C55" s="226"/>
      <c r="D55" s="227"/>
      <c r="E55" s="194">
        <v>7</v>
      </c>
      <c r="F55" s="195"/>
      <c r="G55" s="196" t="str">
        <f t="shared" si="9"/>
        <v>冷房</v>
      </c>
      <c r="H55" s="197"/>
      <c r="I55" s="197"/>
      <c r="J55" s="198">
        <f t="shared" si="6"/>
        <v>42.7</v>
      </c>
      <c r="K55" s="199"/>
      <c r="L55" s="199"/>
      <c r="M55" s="199"/>
      <c r="N55" s="199"/>
      <c r="O55" s="199"/>
      <c r="P55" s="199"/>
      <c r="Q55" s="199"/>
      <c r="R55" s="199"/>
      <c r="S55" s="200"/>
      <c r="T55" s="207">
        <f t="shared" si="7"/>
        <v>300</v>
      </c>
      <c r="U55" s="208"/>
      <c r="V55" s="208"/>
      <c r="W55" s="209">
        <f t="shared" si="8"/>
        <v>12810</v>
      </c>
      <c r="X55" s="210"/>
      <c r="Y55" s="210"/>
      <c r="Z55" s="210"/>
      <c r="AA55" s="211"/>
      <c r="AB55" s="206"/>
      <c r="AC55" s="206"/>
      <c r="AD55" s="206"/>
      <c r="AE55" s="206"/>
      <c r="AF55" s="206"/>
      <c r="AG55" s="206"/>
      <c r="AH55" s="206"/>
      <c r="AI55" s="206"/>
      <c r="AJ55" s="206"/>
      <c r="AK55" s="35"/>
      <c r="AL55" s="35"/>
      <c r="AM55" s="95"/>
      <c r="AN55" s="95"/>
      <c r="AO55" s="95"/>
      <c r="AP55" s="95"/>
      <c r="AQ55" s="95"/>
      <c r="AT55" s="127"/>
    </row>
    <row r="56" spans="1:46" s="51" customFormat="1" ht="15" customHeight="1">
      <c r="A56" s="35"/>
      <c r="B56" s="225"/>
      <c r="C56" s="226"/>
      <c r="D56" s="227"/>
      <c r="E56" s="194">
        <v>8</v>
      </c>
      <c r="F56" s="195"/>
      <c r="G56" s="196" t="str">
        <f t="shared" si="9"/>
        <v>冷房</v>
      </c>
      <c r="H56" s="197"/>
      <c r="I56" s="197"/>
      <c r="J56" s="198">
        <f t="shared" si="6"/>
        <v>42.7</v>
      </c>
      <c r="K56" s="199"/>
      <c r="L56" s="199"/>
      <c r="M56" s="199"/>
      <c r="N56" s="199"/>
      <c r="O56" s="199"/>
      <c r="P56" s="199"/>
      <c r="Q56" s="199"/>
      <c r="R56" s="199"/>
      <c r="S56" s="200"/>
      <c r="T56" s="207">
        <f t="shared" si="7"/>
        <v>300</v>
      </c>
      <c r="U56" s="208"/>
      <c r="V56" s="208"/>
      <c r="W56" s="209">
        <f t="shared" si="8"/>
        <v>12810</v>
      </c>
      <c r="X56" s="210"/>
      <c r="Y56" s="210"/>
      <c r="Z56" s="210"/>
      <c r="AA56" s="211"/>
      <c r="AB56" s="206"/>
      <c r="AC56" s="206"/>
      <c r="AD56" s="206"/>
      <c r="AE56" s="206"/>
      <c r="AF56" s="206"/>
      <c r="AG56" s="206"/>
      <c r="AH56" s="206"/>
      <c r="AI56" s="206"/>
      <c r="AJ56" s="206"/>
      <c r="AK56" s="35"/>
      <c r="AL56" s="35"/>
      <c r="AM56" s="95"/>
      <c r="AN56" s="95"/>
      <c r="AO56" s="95"/>
      <c r="AP56" s="95"/>
      <c r="AQ56" s="95"/>
      <c r="AT56" s="127"/>
    </row>
    <row r="57" spans="1:46" s="51" customFormat="1" ht="15" customHeight="1">
      <c r="A57" s="35"/>
      <c r="B57" s="225"/>
      <c r="C57" s="226"/>
      <c r="D57" s="227"/>
      <c r="E57" s="194">
        <v>9</v>
      </c>
      <c r="F57" s="195"/>
      <c r="G57" s="196" t="str">
        <f t="shared" si="9"/>
        <v>冷房</v>
      </c>
      <c r="H57" s="197"/>
      <c r="I57" s="197"/>
      <c r="J57" s="198">
        <f t="shared" si="6"/>
        <v>42.7</v>
      </c>
      <c r="K57" s="199"/>
      <c r="L57" s="199"/>
      <c r="M57" s="199"/>
      <c r="N57" s="199"/>
      <c r="O57" s="199"/>
      <c r="P57" s="199"/>
      <c r="Q57" s="199"/>
      <c r="R57" s="199"/>
      <c r="S57" s="200"/>
      <c r="T57" s="207">
        <f t="shared" si="7"/>
        <v>300</v>
      </c>
      <c r="U57" s="208"/>
      <c r="V57" s="208"/>
      <c r="W57" s="209">
        <f t="shared" si="8"/>
        <v>12810</v>
      </c>
      <c r="X57" s="210"/>
      <c r="Y57" s="210"/>
      <c r="Z57" s="210"/>
      <c r="AA57" s="211"/>
      <c r="AB57" s="206"/>
      <c r="AC57" s="206"/>
      <c r="AD57" s="206"/>
      <c r="AE57" s="206"/>
      <c r="AF57" s="206"/>
      <c r="AG57" s="206"/>
      <c r="AH57" s="206"/>
      <c r="AI57" s="206"/>
      <c r="AJ57" s="206"/>
      <c r="AK57" s="35"/>
      <c r="AL57" s="35"/>
      <c r="AM57" s="95"/>
      <c r="AN57" s="95"/>
      <c r="AO57" s="95"/>
      <c r="AP57" s="95"/>
      <c r="AQ57" s="95"/>
      <c r="AT57" s="127"/>
    </row>
    <row r="58" spans="1:46" ht="15" customHeight="1">
      <c r="B58" s="225"/>
      <c r="C58" s="226"/>
      <c r="D58" s="227"/>
      <c r="E58" s="194">
        <v>10</v>
      </c>
      <c r="F58" s="195"/>
      <c r="G58" s="196" t="str">
        <f t="shared" si="9"/>
        <v>冷房</v>
      </c>
      <c r="H58" s="197"/>
      <c r="I58" s="197"/>
      <c r="J58" s="198">
        <f t="shared" si="6"/>
        <v>42.7</v>
      </c>
      <c r="K58" s="199"/>
      <c r="L58" s="199"/>
      <c r="M58" s="199"/>
      <c r="N58" s="199"/>
      <c r="O58" s="199"/>
      <c r="P58" s="199"/>
      <c r="Q58" s="199"/>
      <c r="R58" s="199"/>
      <c r="S58" s="200"/>
      <c r="T58" s="207">
        <f t="shared" si="7"/>
        <v>300</v>
      </c>
      <c r="U58" s="208"/>
      <c r="V58" s="208"/>
      <c r="W58" s="209">
        <f t="shared" si="8"/>
        <v>12810</v>
      </c>
      <c r="X58" s="210"/>
      <c r="Y58" s="210"/>
      <c r="Z58" s="210"/>
      <c r="AA58" s="211"/>
      <c r="AB58" s="206"/>
      <c r="AC58" s="206"/>
      <c r="AD58" s="206"/>
      <c r="AE58" s="206"/>
      <c r="AF58" s="206"/>
      <c r="AG58" s="206"/>
      <c r="AH58" s="206"/>
      <c r="AI58" s="206"/>
      <c r="AJ58" s="206"/>
    </row>
    <row r="59" spans="1:46" ht="15" customHeight="1">
      <c r="B59" s="225"/>
      <c r="C59" s="226"/>
      <c r="D59" s="227"/>
      <c r="E59" s="194">
        <v>11</v>
      </c>
      <c r="F59" s="195"/>
      <c r="G59" s="196" t="str">
        <f t="shared" si="9"/>
        <v>暖房</v>
      </c>
      <c r="H59" s="197"/>
      <c r="I59" s="197"/>
      <c r="J59" s="198">
        <f t="shared" si="6"/>
        <v>0</v>
      </c>
      <c r="K59" s="199"/>
      <c r="L59" s="199"/>
      <c r="M59" s="199"/>
      <c r="N59" s="199"/>
      <c r="O59" s="199"/>
      <c r="P59" s="199"/>
      <c r="Q59" s="199"/>
      <c r="R59" s="199"/>
      <c r="S59" s="200"/>
      <c r="T59" s="207">
        <f t="shared" si="7"/>
        <v>300</v>
      </c>
      <c r="U59" s="208"/>
      <c r="V59" s="208"/>
      <c r="W59" s="209">
        <f t="shared" si="8"/>
        <v>0</v>
      </c>
      <c r="X59" s="210"/>
      <c r="Y59" s="210"/>
      <c r="Z59" s="210"/>
      <c r="AA59" s="211"/>
      <c r="AB59" s="206"/>
      <c r="AC59" s="206"/>
      <c r="AD59" s="206"/>
      <c r="AE59" s="206"/>
      <c r="AF59" s="206"/>
      <c r="AG59" s="206"/>
      <c r="AH59" s="206"/>
      <c r="AI59" s="206"/>
      <c r="AJ59" s="206"/>
    </row>
    <row r="60" spans="1:46" s="51" customFormat="1" ht="15" customHeight="1">
      <c r="A60" s="35"/>
      <c r="B60" s="225"/>
      <c r="C60" s="226"/>
      <c r="D60" s="227"/>
      <c r="E60" s="194">
        <v>12</v>
      </c>
      <c r="F60" s="195"/>
      <c r="G60" s="196" t="str">
        <f t="shared" si="9"/>
        <v>暖房</v>
      </c>
      <c r="H60" s="197"/>
      <c r="I60" s="197"/>
      <c r="J60" s="198">
        <f t="shared" si="6"/>
        <v>0</v>
      </c>
      <c r="K60" s="199"/>
      <c r="L60" s="199"/>
      <c r="M60" s="199"/>
      <c r="N60" s="199"/>
      <c r="O60" s="199"/>
      <c r="P60" s="199"/>
      <c r="Q60" s="199"/>
      <c r="R60" s="199"/>
      <c r="S60" s="200"/>
      <c r="T60" s="207">
        <f t="shared" si="7"/>
        <v>300</v>
      </c>
      <c r="U60" s="208"/>
      <c r="V60" s="208"/>
      <c r="W60" s="209">
        <f t="shared" si="8"/>
        <v>0</v>
      </c>
      <c r="X60" s="210"/>
      <c r="Y60" s="210"/>
      <c r="Z60" s="210"/>
      <c r="AA60" s="211"/>
      <c r="AB60" s="206"/>
      <c r="AC60" s="206"/>
      <c r="AD60" s="206"/>
      <c r="AE60" s="206"/>
      <c r="AF60" s="206"/>
      <c r="AG60" s="206"/>
      <c r="AH60" s="206"/>
      <c r="AI60" s="206"/>
      <c r="AJ60" s="206"/>
      <c r="AK60" s="35"/>
      <c r="AL60" s="35"/>
      <c r="AM60" s="95"/>
      <c r="AN60" s="95"/>
      <c r="AO60" s="95"/>
      <c r="AP60" s="95"/>
      <c r="AQ60" s="95"/>
      <c r="AT60" s="127"/>
    </row>
    <row r="61" spans="1:46" s="51" customFormat="1" ht="15" customHeight="1">
      <c r="A61" s="35"/>
      <c r="B61" s="225"/>
      <c r="C61" s="226"/>
      <c r="D61" s="227"/>
      <c r="E61" s="194">
        <v>1</v>
      </c>
      <c r="F61" s="195"/>
      <c r="G61" s="196" t="str">
        <f t="shared" si="9"/>
        <v>暖房</v>
      </c>
      <c r="H61" s="197"/>
      <c r="I61" s="197"/>
      <c r="J61" s="198">
        <f t="shared" si="6"/>
        <v>0</v>
      </c>
      <c r="K61" s="199"/>
      <c r="L61" s="199"/>
      <c r="M61" s="199"/>
      <c r="N61" s="199"/>
      <c r="O61" s="199"/>
      <c r="P61" s="199"/>
      <c r="Q61" s="199"/>
      <c r="R61" s="199"/>
      <c r="S61" s="200"/>
      <c r="T61" s="207">
        <f t="shared" si="7"/>
        <v>300</v>
      </c>
      <c r="U61" s="208"/>
      <c r="V61" s="208"/>
      <c r="W61" s="209">
        <f t="shared" si="8"/>
        <v>0</v>
      </c>
      <c r="X61" s="210"/>
      <c r="Y61" s="210"/>
      <c r="Z61" s="210"/>
      <c r="AA61" s="211"/>
      <c r="AB61" s="206"/>
      <c r="AC61" s="206"/>
      <c r="AD61" s="206"/>
      <c r="AE61" s="206"/>
      <c r="AF61" s="206"/>
      <c r="AG61" s="206"/>
      <c r="AH61" s="206"/>
      <c r="AI61" s="206"/>
      <c r="AJ61" s="206"/>
      <c r="AK61" s="35"/>
      <c r="AL61" s="35"/>
      <c r="AM61" s="95"/>
      <c r="AN61" s="95"/>
      <c r="AO61" s="95"/>
      <c r="AP61" s="95"/>
      <c r="AQ61" s="95"/>
      <c r="AT61" s="127"/>
    </row>
    <row r="62" spans="1:46" s="51" customFormat="1" ht="15" customHeight="1">
      <c r="A62" s="35"/>
      <c r="B62" s="225"/>
      <c r="C62" s="226"/>
      <c r="D62" s="227"/>
      <c r="E62" s="194">
        <v>2</v>
      </c>
      <c r="F62" s="195"/>
      <c r="G62" s="196" t="str">
        <f t="shared" si="9"/>
        <v>暖房</v>
      </c>
      <c r="H62" s="197"/>
      <c r="I62" s="197"/>
      <c r="J62" s="198">
        <f t="shared" si="6"/>
        <v>0</v>
      </c>
      <c r="K62" s="199"/>
      <c r="L62" s="199"/>
      <c r="M62" s="199"/>
      <c r="N62" s="199"/>
      <c r="O62" s="199"/>
      <c r="P62" s="199"/>
      <c r="Q62" s="199"/>
      <c r="R62" s="199"/>
      <c r="S62" s="200"/>
      <c r="T62" s="207">
        <f>T45</f>
        <v>300</v>
      </c>
      <c r="U62" s="208"/>
      <c r="V62" s="208"/>
      <c r="W62" s="209">
        <f t="shared" si="8"/>
        <v>0</v>
      </c>
      <c r="X62" s="210"/>
      <c r="Y62" s="210"/>
      <c r="Z62" s="210"/>
      <c r="AA62" s="211"/>
      <c r="AB62" s="206"/>
      <c r="AC62" s="206"/>
      <c r="AD62" s="206"/>
      <c r="AE62" s="206"/>
      <c r="AF62" s="206"/>
      <c r="AG62" s="206"/>
      <c r="AH62" s="206"/>
      <c r="AI62" s="206"/>
      <c r="AJ62" s="206"/>
      <c r="AK62" s="35"/>
      <c r="AL62" s="35"/>
      <c r="AM62" s="95"/>
      <c r="AN62" s="95"/>
      <c r="AO62" s="95"/>
      <c r="AP62" s="95"/>
      <c r="AQ62" s="95"/>
      <c r="AT62" s="127"/>
    </row>
    <row r="63" spans="1:46" s="51" customFormat="1" ht="15" customHeight="1" thickBot="1">
      <c r="A63" s="35"/>
      <c r="B63" s="225"/>
      <c r="C63" s="226"/>
      <c r="D63" s="227"/>
      <c r="E63" s="194">
        <v>3</v>
      </c>
      <c r="F63" s="195"/>
      <c r="G63" s="196" t="str">
        <f t="shared" si="9"/>
        <v>暖房</v>
      </c>
      <c r="H63" s="197"/>
      <c r="I63" s="197"/>
      <c r="J63" s="198">
        <f t="shared" si="6"/>
        <v>0</v>
      </c>
      <c r="K63" s="199"/>
      <c r="L63" s="199"/>
      <c r="M63" s="199"/>
      <c r="N63" s="199"/>
      <c r="O63" s="199"/>
      <c r="P63" s="199"/>
      <c r="Q63" s="199"/>
      <c r="R63" s="199"/>
      <c r="S63" s="200"/>
      <c r="T63" s="201">
        <f t="shared" si="7"/>
        <v>300</v>
      </c>
      <c r="U63" s="202"/>
      <c r="V63" s="202"/>
      <c r="W63" s="203">
        <f t="shared" si="8"/>
        <v>0</v>
      </c>
      <c r="X63" s="204"/>
      <c r="Y63" s="204"/>
      <c r="Z63" s="204"/>
      <c r="AA63" s="205"/>
      <c r="AB63" s="206"/>
      <c r="AC63" s="206"/>
      <c r="AD63" s="206"/>
      <c r="AE63" s="206"/>
      <c r="AF63" s="206"/>
      <c r="AG63" s="206"/>
      <c r="AH63" s="206"/>
      <c r="AI63" s="206"/>
      <c r="AJ63" s="206"/>
      <c r="AK63" s="35"/>
      <c r="AL63" s="35"/>
      <c r="AM63" s="95"/>
      <c r="AN63" s="95"/>
      <c r="AO63" s="95"/>
      <c r="AP63" s="95"/>
      <c r="AQ63" s="95"/>
      <c r="AT63" s="127"/>
    </row>
    <row r="64" spans="1:46" s="51" customFormat="1" ht="15" customHeight="1" thickTop="1">
      <c r="A64" s="35"/>
      <c r="B64" s="228"/>
      <c r="C64" s="229"/>
      <c r="D64" s="230"/>
      <c r="E64" s="178" t="s">
        <v>58</v>
      </c>
      <c r="F64" s="179"/>
      <c r="G64" s="180"/>
      <c r="H64" s="181"/>
      <c r="I64" s="181"/>
      <c r="J64" s="182" t="s">
        <v>90</v>
      </c>
      <c r="K64" s="183"/>
      <c r="L64" s="183"/>
      <c r="M64" s="183"/>
      <c r="N64" s="183"/>
      <c r="O64" s="183"/>
      <c r="P64" s="183"/>
      <c r="Q64" s="183"/>
      <c r="R64" s="183"/>
      <c r="S64" s="184"/>
      <c r="T64" s="185">
        <f>SUM(T52:V63)</f>
        <v>3600</v>
      </c>
      <c r="U64" s="186"/>
      <c r="V64" s="187"/>
      <c r="W64" s="188">
        <f>SUM(W52:AA63)</f>
        <v>76860</v>
      </c>
      <c r="X64" s="189"/>
      <c r="Y64" s="189"/>
      <c r="Z64" s="189"/>
      <c r="AA64" s="190"/>
      <c r="AB64" s="191"/>
      <c r="AC64" s="192"/>
      <c r="AD64" s="192"/>
      <c r="AE64" s="192"/>
      <c r="AF64" s="192"/>
      <c r="AG64" s="192"/>
      <c r="AH64" s="192"/>
      <c r="AI64" s="192"/>
      <c r="AJ64" s="192"/>
      <c r="AK64" s="35"/>
      <c r="AL64" s="35"/>
      <c r="AM64" s="95"/>
      <c r="AN64" s="95"/>
      <c r="AO64" s="95"/>
      <c r="AP64" s="95"/>
      <c r="AQ64" s="95"/>
      <c r="AT64" s="127"/>
    </row>
    <row r="65" spans="1:46" s="51" customFormat="1" ht="15" customHeight="1">
      <c r="A65" s="35"/>
      <c r="B65" s="193" t="str">
        <f>IF(AP47=12,"指定負荷率使用","")</f>
        <v>指定負荷率使用</v>
      </c>
      <c r="C65" s="193"/>
      <c r="D65" s="193"/>
      <c r="E65" s="193"/>
      <c r="F65" s="193"/>
      <c r="G65" s="193"/>
      <c r="H65" s="193"/>
      <c r="I65" s="193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40"/>
      <c r="X65" s="35"/>
      <c r="Y65" s="35"/>
      <c r="Z65" s="35"/>
      <c r="AA65" s="35"/>
      <c r="AB65" s="35"/>
      <c r="AC65" s="35"/>
      <c r="AD65" s="35"/>
      <c r="AE65" s="35"/>
      <c r="AF65" s="86"/>
      <c r="AG65" s="86"/>
      <c r="AH65" s="86"/>
      <c r="AI65" s="86"/>
      <c r="AJ65" s="35"/>
      <c r="AK65" s="35"/>
      <c r="AL65" s="35"/>
      <c r="AM65" s="95"/>
      <c r="AN65" s="95"/>
      <c r="AO65" s="95"/>
      <c r="AP65" s="95"/>
      <c r="AQ65" s="95"/>
      <c r="AT65" s="127"/>
    </row>
    <row r="66" spans="1:46" s="51" customFormat="1" ht="15" customHeight="1">
      <c r="A66" s="38"/>
      <c r="B66" s="175"/>
      <c r="C66" s="175"/>
      <c r="D66" s="39"/>
      <c r="E66" s="39"/>
      <c r="F66" s="39"/>
      <c r="G66" s="39"/>
      <c r="H66" s="39"/>
      <c r="I66" s="38"/>
      <c r="J66" s="38"/>
      <c r="K66" s="38"/>
      <c r="L66" s="38"/>
      <c r="M66" s="35"/>
      <c r="N66" s="35"/>
      <c r="O66" s="35"/>
      <c r="P66" s="39"/>
      <c r="Q66" s="39"/>
      <c r="R66" s="39"/>
      <c r="S66" s="176"/>
      <c r="T66" s="176"/>
      <c r="U66" s="176"/>
      <c r="V66" s="176"/>
      <c r="W66" s="176"/>
      <c r="X66" s="176"/>
      <c r="Y66" s="176"/>
      <c r="Z66" s="177"/>
      <c r="AA66" s="177"/>
      <c r="AB66" s="177"/>
      <c r="AC66" s="177"/>
      <c r="AD66" s="177"/>
      <c r="AE66" s="177"/>
      <c r="AF66" s="177"/>
      <c r="AG66" s="177"/>
      <c r="AH66" s="177"/>
      <c r="AI66" s="177"/>
      <c r="AJ66" s="177"/>
      <c r="AK66" s="35"/>
      <c r="AL66" s="35"/>
      <c r="AM66" s="95"/>
      <c r="AN66" s="95"/>
      <c r="AO66" s="95"/>
      <c r="AP66" s="95"/>
      <c r="AQ66" s="95"/>
      <c r="AT66" s="127"/>
    </row>
    <row r="67" spans="1:46" s="51" customFormat="1" ht="15" customHeight="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86"/>
      <c r="AG67" s="86"/>
      <c r="AH67" s="86"/>
      <c r="AI67" s="86"/>
      <c r="AJ67" s="35"/>
      <c r="AK67" s="35"/>
      <c r="AL67" s="35"/>
      <c r="AM67" s="95"/>
      <c r="AN67" s="95"/>
      <c r="AO67" s="95"/>
      <c r="AP67" s="95"/>
      <c r="AQ67" s="95"/>
      <c r="AT67" s="127"/>
    </row>
    <row r="68" spans="1:46" s="51" customFormat="1" ht="15" customHeight="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86"/>
      <c r="AG68" s="86"/>
      <c r="AH68" s="86"/>
      <c r="AI68" s="86"/>
      <c r="AJ68" s="35"/>
      <c r="AK68" s="35"/>
      <c r="AL68" s="35"/>
      <c r="AM68" s="95"/>
      <c r="AN68" s="95"/>
      <c r="AO68" s="95"/>
      <c r="AP68" s="95"/>
      <c r="AQ68" s="95"/>
      <c r="AT68" s="127"/>
    </row>
    <row r="69" spans="1:46" s="35" customFormat="1" ht="38.25" customHeight="1">
      <c r="AF69" s="86"/>
      <c r="AG69" s="86"/>
      <c r="AH69" s="86"/>
      <c r="AI69" s="86"/>
      <c r="AM69" s="95"/>
      <c r="AN69" s="95"/>
      <c r="AO69" s="95"/>
      <c r="AP69" s="95"/>
      <c r="AQ69" s="95"/>
      <c r="AR69" s="86"/>
      <c r="AS69" s="86"/>
      <c r="AT69" s="128"/>
    </row>
    <row r="70" spans="1:46" s="51" customFormat="1" ht="12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86"/>
      <c r="AG70" s="86"/>
      <c r="AH70" s="86"/>
      <c r="AI70" s="86"/>
      <c r="AJ70" s="35"/>
      <c r="AK70" s="35"/>
      <c r="AL70" s="35"/>
      <c r="AM70" s="95"/>
      <c r="AN70" s="95"/>
      <c r="AO70" s="95"/>
      <c r="AP70" s="95"/>
      <c r="AQ70" s="95"/>
      <c r="AT70" s="127"/>
    </row>
    <row r="71" spans="1:46" s="51" customFormat="1" ht="12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86"/>
      <c r="AG71" s="86"/>
      <c r="AH71" s="86"/>
      <c r="AI71" s="86"/>
      <c r="AJ71" s="35"/>
      <c r="AK71" s="35"/>
      <c r="AL71" s="35"/>
      <c r="AM71" s="95"/>
      <c r="AN71" s="95"/>
      <c r="AO71" s="95"/>
      <c r="AP71" s="95"/>
      <c r="AQ71" s="95"/>
      <c r="AT71" s="127"/>
    </row>
    <row r="72" spans="1:46" s="51" customFormat="1" ht="12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86"/>
      <c r="AG72" s="86"/>
      <c r="AH72" s="86"/>
      <c r="AI72" s="86"/>
      <c r="AJ72" s="35"/>
      <c r="AK72" s="35"/>
      <c r="AL72" s="35"/>
      <c r="AM72" s="95"/>
      <c r="AN72" s="95"/>
      <c r="AO72" s="95"/>
      <c r="AP72" s="95"/>
      <c r="AQ72" s="95"/>
      <c r="AT72" s="127"/>
    </row>
    <row r="73" spans="1:46" s="51" customFormat="1" ht="12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86"/>
      <c r="AG73" s="86"/>
      <c r="AH73" s="86"/>
      <c r="AI73" s="86"/>
      <c r="AJ73" s="35"/>
      <c r="AK73" s="35"/>
      <c r="AL73" s="35"/>
      <c r="AM73" s="95"/>
      <c r="AN73" s="95"/>
      <c r="AO73" s="95"/>
      <c r="AP73" s="95"/>
      <c r="AQ73" s="95"/>
      <c r="AT73" s="127"/>
    </row>
    <row r="74" spans="1:46" s="51" customFormat="1" ht="12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86"/>
      <c r="AG74" s="86"/>
      <c r="AH74" s="86"/>
      <c r="AI74" s="86"/>
      <c r="AJ74" s="35"/>
      <c r="AK74" s="35"/>
      <c r="AL74" s="35"/>
      <c r="AM74" s="95"/>
      <c r="AN74" s="95"/>
      <c r="AO74" s="95"/>
      <c r="AP74" s="95"/>
      <c r="AQ74" s="95"/>
      <c r="AT74" s="127"/>
    </row>
    <row r="75" spans="1:46" s="51" customFormat="1" ht="12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86"/>
      <c r="AG75" s="86"/>
      <c r="AH75" s="86"/>
      <c r="AI75" s="86"/>
      <c r="AJ75" s="35"/>
      <c r="AK75" s="35"/>
      <c r="AL75" s="35"/>
      <c r="AM75" s="95"/>
      <c r="AN75" s="95"/>
      <c r="AO75" s="95"/>
      <c r="AP75" s="95"/>
      <c r="AQ75" s="95"/>
      <c r="AT75" s="127"/>
    </row>
    <row r="76" spans="1:46" s="51" customFormat="1" ht="12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86"/>
      <c r="AG76" s="86"/>
      <c r="AH76" s="86"/>
      <c r="AI76" s="86"/>
      <c r="AJ76" s="35"/>
      <c r="AK76" s="35"/>
      <c r="AL76" s="35"/>
      <c r="AM76" s="95"/>
      <c r="AN76" s="95"/>
      <c r="AO76" s="95"/>
      <c r="AP76" s="95"/>
      <c r="AQ76" s="95"/>
      <c r="AT76" s="127"/>
    </row>
    <row r="77" spans="1:46" s="51" customFormat="1" ht="12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86"/>
      <c r="AG77" s="86"/>
      <c r="AH77" s="86"/>
      <c r="AI77" s="86"/>
      <c r="AJ77" s="35"/>
      <c r="AK77" s="35"/>
      <c r="AL77" s="35"/>
      <c r="AM77" s="95"/>
      <c r="AN77" s="95"/>
      <c r="AO77" s="95"/>
      <c r="AP77" s="95"/>
      <c r="AQ77" s="95"/>
      <c r="AT77" s="127"/>
    </row>
    <row r="78" spans="1:46" s="51" customFormat="1" ht="13.5" customHeight="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86"/>
      <c r="AG78" s="86"/>
      <c r="AH78" s="86"/>
      <c r="AI78" s="86"/>
      <c r="AJ78" s="35"/>
      <c r="AK78" s="35"/>
      <c r="AL78" s="35"/>
      <c r="AM78" s="95"/>
      <c r="AN78" s="95"/>
      <c r="AO78" s="95"/>
      <c r="AP78" s="95"/>
      <c r="AQ78" s="95"/>
      <c r="AT78" s="127"/>
    </row>
    <row r="79" spans="1:46" s="51" customFormat="1" ht="12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86"/>
      <c r="AG79" s="86"/>
      <c r="AH79" s="86"/>
      <c r="AI79" s="86"/>
      <c r="AJ79" s="35"/>
      <c r="AK79" s="35"/>
      <c r="AL79" s="35"/>
      <c r="AM79" s="95"/>
      <c r="AN79" s="95"/>
      <c r="AO79" s="95"/>
      <c r="AP79" s="95"/>
      <c r="AQ79" s="95"/>
      <c r="AT79" s="127"/>
    </row>
    <row r="82" spans="1:46" s="51" customFormat="1" ht="12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86"/>
      <c r="AG82" s="86"/>
      <c r="AH82" s="86"/>
      <c r="AI82" s="86"/>
      <c r="AJ82" s="35"/>
      <c r="AK82" s="35"/>
      <c r="AL82" s="35"/>
      <c r="AM82" s="95"/>
      <c r="AN82" s="95"/>
      <c r="AO82" s="95"/>
      <c r="AP82" s="95"/>
      <c r="AQ82" s="95"/>
      <c r="AT82" s="127"/>
    </row>
    <row r="83" spans="1:46" s="51" customFormat="1" ht="12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86"/>
      <c r="AG83" s="86"/>
      <c r="AH83" s="86"/>
      <c r="AI83" s="86"/>
      <c r="AJ83" s="35"/>
      <c r="AK83" s="35"/>
      <c r="AL83" s="35"/>
      <c r="AM83" s="95"/>
      <c r="AN83" s="95"/>
      <c r="AO83" s="95"/>
      <c r="AP83" s="95"/>
      <c r="AQ83" s="95"/>
      <c r="AT83" s="127"/>
    </row>
    <row r="84" spans="1:46" s="51" customFormat="1" ht="12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86"/>
      <c r="AG84" s="86"/>
      <c r="AH84" s="86"/>
      <c r="AI84" s="86"/>
      <c r="AJ84" s="35"/>
      <c r="AK84" s="35"/>
      <c r="AL84" s="35"/>
      <c r="AM84" s="95"/>
      <c r="AN84" s="95"/>
      <c r="AO84" s="95"/>
      <c r="AP84" s="95"/>
      <c r="AQ84" s="95"/>
      <c r="AT84" s="127"/>
    </row>
    <row r="85" spans="1:46" s="51" customFormat="1" ht="12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86"/>
      <c r="AG85" s="86"/>
      <c r="AH85" s="86"/>
      <c r="AI85" s="86"/>
      <c r="AJ85" s="35"/>
      <c r="AK85" s="35"/>
      <c r="AL85" s="35"/>
      <c r="AM85" s="95"/>
      <c r="AN85" s="95"/>
      <c r="AO85" s="95"/>
      <c r="AP85" s="95"/>
      <c r="AQ85" s="95"/>
      <c r="AT85" s="127"/>
    </row>
    <row r="86" spans="1:46" s="51" customFormat="1" ht="12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86"/>
      <c r="AG86" s="86"/>
      <c r="AH86" s="86"/>
      <c r="AI86" s="86"/>
      <c r="AJ86" s="35"/>
      <c r="AK86" s="35"/>
      <c r="AL86" s="35"/>
      <c r="AM86" s="95"/>
      <c r="AN86" s="95"/>
      <c r="AO86" s="95"/>
      <c r="AP86" s="95"/>
      <c r="AQ86" s="95"/>
      <c r="AT86" s="127"/>
    </row>
    <row r="87" spans="1:46" s="51" customFormat="1" ht="12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86"/>
      <c r="AG87" s="86"/>
      <c r="AH87" s="86"/>
      <c r="AI87" s="86"/>
      <c r="AJ87" s="35"/>
      <c r="AK87" s="35"/>
      <c r="AL87" s="35"/>
      <c r="AM87" s="95"/>
      <c r="AN87" s="95"/>
      <c r="AO87" s="95"/>
      <c r="AP87" s="95"/>
      <c r="AQ87" s="95"/>
      <c r="AT87" s="127"/>
    </row>
    <row r="88" spans="1:46" s="51" customFormat="1" ht="12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86"/>
      <c r="AG88" s="86"/>
      <c r="AH88" s="86"/>
      <c r="AI88" s="86"/>
      <c r="AJ88" s="35"/>
      <c r="AK88" s="35"/>
      <c r="AL88" s="35"/>
      <c r="AM88" s="95"/>
      <c r="AN88" s="95"/>
      <c r="AO88" s="95"/>
      <c r="AP88" s="95"/>
      <c r="AQ88" s="95"/>
      <c r="AT88" s="127"/>
    </row>
    <row r="89" spans="1:46" s="51" customFormat="1" ht="12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86"/>
      <c r="AG89" s="86"/>
      <c r="AH89" s="86"/>
      <c r="AI89" s="86"/>
      <c r="AJ89" s="35"/>
      <c r="AK89" s="35"/>
      <c r="AL89" s="35"/>
      <c r="AM89" s="95"/>
      <c r="AN89" s="95"/>
      <c r="AO89" s="95"/>
      <c r="AP89" s="95"/>
      <c r="AQ89" s="95"/>
      <c r="AT89" s="127"/>
    </row>
    <row r="90" spans="1:46" s="51" customFormat="1" ht="12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86"/>
      <c r="AG90" s="86"/>
      <c r="AH90" s="86"/>
      <c r="AI90" s="86"/>
      <c r="AJ90" s="35"/>
      <c r="AK90" s="35"/>
      <c r="AL90" s="35"/>
      <c r="AM90" s="95"/>
      <c r="AN90" s="95"/>
      <c r="AO90" s="95"/>
      <c r="AP90" s="95"/>
      <c r="AQ90" s="95"/>
      <c r="AT90" s="127"/>
    </row>
    <row r="91" spans="1:46" s="51" customFormat="1" ht="12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86"/>
      <c r="AG91" s="86"/>
      <c r="AH91" s="86"/>
      <c r="AI91" s="86"/>
      <c r="AJ91" s="35"/>
      <c r="AK91" s="35"/>
      <c r="AL91" s="35"/>
      <c r="AM91" s="95"/>
      <c r="AN91" s="95"/>
      <c r="AO91" s="95"/>
      <c r="AP91" s="95"/>
      <c r="AQ91" s="95"/>
      <c r="AT91" s="127"/>
    </row>
    <row r="92" spans="1:46" s="51" customFormat="1" ht="12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86"/>
      <c r="AG92" s="86"/>
      <c r="AH92" s="86"/>
      <c r="AI92" s="86"/>
      <c r="AJ92" s="35"/>
      <c r="AK92" s="35"/>
      <c r="AL92" s="35"/>
      <c r="AM92" s="95"/>
      <c r="AN92" s="95"/>
      <c r="AO92" s="95"/>
      <c r="AP92" s="95"/>
      <c r="AQ92" s="95"/>
      <c r="AT92" s="127"/>
    </row>
    <row r="93" spans="1:46" s="51" customFormat="1" ht="12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86"/>
      <c r="AG93" s="86"/>
      <c r="AH93" s="86"/>
      <c r="AI93" s="86"/>
      <c r="AJ93" s="35"/>
      <c r="AK93" s="35"/>
      <c r="AL93" s="35"/>
      <c r="AM93" s="95"/>
      <c r="AN93" s="95"/>
      <c r="AO93" s="95"/>
      <c r="AP93" s="95"/>
      <c r="AQ93" s="95"/>
      <c r="AT93" s="127"/>
    </row>
    <row r="94" spans="1:46" s="51" customFormat="1" ht="1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86"/>
      <c r="AG94" s="86"/>
      <c r="AH94" s="86"/>
      <c r="AI94" s="86"/>
      <c r="AJ94" s="35"/>
      <c r="AK94" s="35"/>
      <c r="AL94" s="35"/>
      <c r="AM94" s="95"/>
      <c r="AN94" s="95"/>
      <c r="AO94" s="95"/>
      <c r="AP94" s="95"/>
      <c r="AQ94" s="95"/>
      <c r="AT94" s="127"/>
    </row>
    <row r="109" spans="32:46" s="35" customFormat="1" ht="13.5" customHeight="1">
      <c r="AF109" s="86"/>
      <c r="AG109" s="86"/>
      <c r="AH109" s="86"/>
      <c r="AI109" s="86"/>
      <c r="AM109" s="95"/>
      <c r="AN109" s="95"/>
      <c r="AO109" s="95"/>
      <c r="AP109" s="95"/>
      <c r="AQ109" s="95"/>
      <c r="AR109" s="86"/>
      <c r="AS109" s="86"/>
      <c r="AT109" s="128"/>
    </row>
    <row r="124" spans="32:46" s="35" customFormat="1" ht="13.5" customHeight="1">
      <c r="AF124" s="86"/>
      <c r="AG124" s="86"/>
      <c r="AH124" s="86"/>
      <c r="AI124" s="86"/>
      <c r="AM124" s="95"/>
      <c r="AN124" s="95"/>
      <c r="AO124" s="95"/>
      <c r="AP124" s="95"/>
      <c r="AQ124" s="95"/>
      <c r="AR124" s="86"/>
      <c r="AS124" s="86"/>
      <c r="AT124" s="128"/>
    </row>
    <row r="144" spans="32:46" s="35" customFormat="1" ht="13.5" customHeight="1">
      <c r="AF144" s="86"/>
      <c r="AG144" s="86"/>
      <c r="AH144" s="86"/>
      <c r="AI144" s="86"/>
      <c r="AM144" s="95"/>
      <c r="AN144" s="95"/>
      <c r="AO144" s="95"/>
      <c r="AP144" s="95"/>
      <c r="AQ144" s="95"/>
      <c r="AR144" s="86"/>
      <c r="AS144" s="86"/>
      <c r="AT144" s="128"/>
    </row>
    <row r="146" spans="32:46" s="35" customFormat="1" ht="13.5" customHeight="1">
      <c r="AF146" s="86"/>
      <c r="AG146" s="86"/>
      <c r="AH146" s="86"/>
      <c r="AI146" s="86"/>
      <c r="AM146" s="95"/>
      <c r="AN146" s="95"/>
      <c r="AO146" s="95"/>
      <c r="AP146" s="95"/>
      <c r="AQ146" s="95"/>
      <c r="AR146" s="86"/>
      <c r="AS146" s="86"/>
      <c r="AT146" s="128"/>
    </row>
  </sheetData>
  <sheetProtection password="A6C9" sheet="1" objects="1" scenarios="1"/>
  <mergeCells count="261">
    <mergeCell ref="AM1:BU1"/>
    <mergeCell ref="A1:AE1"/>
    <mergeCell ref="B4:E4"/>
    <mergeCell ref="F4:K4"/>
    <mergeCell ref="B7:H7"/>
    <mergeCell ref="AB35:AH36"/>
    <mergeCell ref="AB43:AH44"/>
    <mergeCell ref="AB46:AH48"/>
    <mergeCell ref="AB38:AH41"/>
    <mergeCell ref="B22:H22"/>
    <mergeCell ref="B23:H23"/>
    <mergeCell ref="T18:AH18"/>
    <mergeCell ref="T19:AH19"/>
    <mergeCell ref="T21:AH21"/>
    <mergeCell ref="T22:AH22"/>
    <mergeCell ref="T23:AH23"/>
    <mergeCell ref="B18:H18"/>
    <mergeCell ref="I23:O23"/>
    <mergeCell ref="P23:R23"/>
    <mergeCell ref="T27:AH27"/>
    <mergeCell ref="T28:AH28"/>
    <mergeCell ref="T29:AH29"/>
    <mergeCell ref="B26:H26"/>
    <mergeCell ref="B27:D29"/>
    <mergeCell ref="E29:H29"/>
    <mergeCell ref="I29:O29"/>
    <mergeCell ref="P29:R29"/>
    <mergeCell ref="T26:AH26"/>
    <mergeCell ref="W33:AA33"/>
    <mergeCell ref="AB33:AJ33"/>
    <mergeCell ref="J34:L34"/>
    <mergeCell ref="B16:D17"/>
    <mergeCell ref="E16:H16"/>
    <mergeCell ref="I16:O16"/>
    <mergeCell ref="P16:R16"/>
    <mergeCell ref="P28:R28"/>
    <mergeCell ref="I21:R21"/>
    <mergeCell ref="I18:R18"/>
    <mergeCell ref="E27:H27"/>
    <mergeCell ref="I27:R27"/>
    <mergeCell ref="I26:R26"/>
    <mergeCell ref="E28:H28"/>
    <mergeCell ref="I28:O28"/>
    <mergeCell ref="I22:R22"/>
    <mergeCell ref="B21:H21"/>
    <mergeCell ref="M34:P34"/>
    <mergeCell ref="T34:V34"/>
    <mergeCell ref="W34:AA34"/>
    <mergeCell ref="AB34:AJ34"/>
    <mergeCell ref="G33:I34"/>
    <mergeCell ref="J33:L33"/>
    <mergeCell ref="M33:P33"/>
    <mergeCell ref="T33:V33"/>
    <mergeCell ref="Q33:S34"/>
    <mergeCell ref="W35:AA35"/>
    <mergeCell ref="E36:F36"/>
    <mergeCell ref="G36:I36"/>
    <mergeCell ref="J36:L36"/>
    <mergeCell ref="M36:P36"/>
    <mergeCell ref="Q36:S36"/>
    <mergeCell ref="T36:V36"/>
    <mergeCell ref="W36:AA36"/>
    <mergeCell ref="E35:F35"/>
    <mergeCell ref="G35:I35"/>
    <mergeCell ref="J35:L35"/>
    <mergeCell ref="M35:P35"/>
    <mergeCell ref="Q35:S35"/>
    <mergeCell ref="T35:V35"/>
    <mergeCell ref="W37:AA37"/>
    <mergeCell ref="E38:F38"/>
    <mergeCell ref="G38:I38"/>
    <mergeCell ref="J38:L38"/>
    <mergeCell ref="M38:P38"/>
    <mergeCell ref="Q38:S38"/>
    <mergeCell ref="T38:V38"/>
    <mergeCell ref="W38:AA38"/>
    <mergeCell ref="E37:F37"/>
    <mergeCell ref="G37:I37"/>
    <mergeCell ref="J37:L37"/>
    <mergeCell ref="M37:P37"/>
    <mergeCell ref="Q37:S37"/>
    <mergeCell ref="T37:V37"/>
    <mergeCell ref="W39:AA39"/>
    <mergeCell ref="E40:F40"/>
    <mergeCell ref="G40:I40"/>
    <mergeCell ref="J40:L40"/>
    <mergeCell ref="M40:P40"/>
    <mergeCell ref="Q40:S40"/>
    <mergeCell ref="T40:V40"/>
    <mergeCell ref="W40:AA40"/>
    <mergeCell ref="E39:F39"/>
    <mergeCell ref="G39:I39"/>
    <mergeCell ref="J39:L39"/>
    <mergeCell ref="M39:P39"/>
    <mergeCell ref="Q39:S39"/>
    <mergeCell ref="T39:V39"/>
    <mergeCell ref="W41:AA41"/>
    <mergeCell ref="E42:F42"/>
    <mergeCell ref="G42:I42"/>
    <mergeCell ref="J42:L42"/>
    <mergeCell ref="M42:P42"/>
    <mergeCell ref="Q42:S42"/>
    <mergeCell ref="T42:V42"/>
    <mergeCell ref="W42:AA42"/>
    <mergeCell ref="E41:F41"/>
    <mergeCell ref="G41:I41"/>
    <mergeCell ref="J41:L41"/>
    <mergeCell ref="M41:P41"/>
    <mergeCell ref="Q41:S41"/>
    <mergeCell ref="T41:V41"/>
    <mergeCell ref="W43:AA43"/>
    <mergeCell ref="E44:F44"/>
    <mergeCell ref="G44:I44"/>
    <mergeCell ref="J44:L44"/>
    <mergeCell ref="M44:P44"/>
    <mergeCell ref="Q44:S44"/>
    <mergeCell ref="T44:V44"/>
    <mergeCell ref="W44:AA44"/>
    <mergeCell ref="E43:F43"/>
    <mergeCell ref="G43:I43"/>
    <mergeCell ref="J43:L43"/>
    <mergeCell ref="M43:P43"/>
    <mergeCell ref="Q43:S43"/>
    <mergeCell ref="T43:V43"/>
    <mergeCell ref="W45:AA45"/>
    <mergeCell ref="E46:F46"/>
    <mergeCell ref="G46:I46"/>
    <mergeCell ref="J46:L46"/>
    <mergeCell ref="M46:P46"/>
    <mergeCell ref="Q46:S46"/>
    <mergeCell ref="T46:V46"/>
    <mergeCell ref="W46:AA46"/>
    <mergeCell ref="E45:F45"/>
    <mergeCell ref="G45:I45"/>
    <mergeCell ref="J45:L45"/>
    <mergeCell ref="M45:P45"/>
    <mergeCell ref="Q45:S45"/>
    <mergeCell ref="T45:V45"/>
    <mergeCell ref="W50:AA50"/>
    <mergeCell ref="AB50:AJ50"/>
    <mergeCell ref="J51:S51"/>
    <mergeCell ref="T51:V51"/>
    <mergeCell ref="AB53:AJ53"/>
    <mergeCell ref="AB51:AJ51"/>
    <mergeCell ref="AB52:AJ52"/>
    <mergeCell ref="E55:F55"/>
    <mergeCell ref="G55:I55"/>
    <mergeCell ref="J55:S55"/>
    <mergeCell ref="T55:V55"/>
    <mergeCell ref="W55:AA55"/>
    <mergeCell ref="AB55:AJ55"/>
    <mergeCell ref="E54:F54"/>
    <mergeCell ref="G54:I54"/>
    <mergeCell ref="J54:S54"/>
    <mergeCell ref="T54:V54"/>
    <mergeCell ref="W54:AA54"/>
    <mergeCell ref="AB54:AJ54"/>
    <mergeCell ref="E47:F47"/>
    <mergeCell ref="J47:L47"/>
    <mergeCell ref="M47:P47"/>
    <mergeCell ref="Q47:S47"/>
    <mergeCell ref="T47:V47"/>
    <mergeCell ref="W47:AA47"/>
    <mergeCell ref="B33:D47"/>
    <mergeCell ref="E33:F34"/>
    <mergeCell ref="E53:F53"/>
    <mergeCell ref="G53:I53"/>
    <mergeCell ref="J53:S53"/>
    <mergeCell ref="T53:V53"/>
    <mergeCell ref="W53:AA53"/>
    <mergeCell ref="W51:AA51"/>
    <mergeCell ref="E52:F52"/>
    <mergeCell ref="G52:I52"/>
    <mergeCell ref="J52:S52"/>
    <mergeCell ref="T52:V52"/>
    <mergeCell ref="W52:AA52"/>
    <mergeCell ref="B50:D64"/>
    <mergeCell ref="E50:F51"/>
    <mergeCell ref="G50:I51"/>
    <mergeCell ref="J50:S50"/>
    <mergeCell ref="T50:V50"/>
    <mergeCell ref="E57:F57"/>
    <mergeCell ref="G57:I57"/>
    <mergeCell ref="J57:S57"/>
    <mergeCell ref="T57:V57"/>
    <mergeCell ref="W57:AA57"/>
    <mergeCell ref="AB57:AJ57"/>
    <mergeCell ref="E56:F56"/>
    <mergeCell ref="G56:I56"/>
    <mergeCell ref="J56:S56"/>
    <mergeCell ref="T56:V56"/>
    <mergeCell ref="W56:AA56"/>
    <mergeCell ref="AB56:AJ56"/>
    <mergeCell ref="E59:F59"/>
    <mergeCell ref="G59:I59"/>
    <mergeCell ref="J59:S59"/>
    <mergeCell ref="T59:V59"/>
    <mergeCell ref="W59:AA59"/>
    <mergeCell ref="AB59:AJ59"/>
    <mergeCell ref="E58:F58"/>
    <mergeCell ref="G58:I58"/>
    <mergeCell ref="J58:S58"/>
    <mergeCell ref="T58:V58"/>
    <mergeCell ref="W58:AA58"/>
    <mergeCell ref="AB58:AJ58"/>
    <mergeCell ref="E61:F61"/>
    <mergeCell ref="G61:I61"/>
    <mergeCell ref="J61:S61"/>
    <mergeCell ref="T61:V61"/>
    <mergeCell ref="W61:AA61"/>
    <mergeCell ref="AB61:AJ61"/>
    <mergeCell ref="E60:F60"/>
    <mergeCell ref="G60:I60"/>
    <mergeCell ref="J60:S60"/>
    <mergeCell ref="T60:V60"/>
    <mergeCell ref="W60:AA60"/>
    <mergeCell ref="AB60:AJ60"/>
    <mergeCell ref="E63:F63"/>
    <mergeCell ref="G63:I63"/>
    <mergeCell ref="J63:S63"/>
    <mergeCell ref="T63:V63"/>
    <mergeCell ref="W63:AA63"/>
    <mergeCell ref="AB63:AJ63"/>
    <mergeCell ref="E62:F62"/>
    <mergeCell ref="G62:I62"/>
    <mergeCell ref="J62:S62"/>
    <mergeCell ref="T62:V62"/>
    <mergeCell ref="W62:AA62"/>
    <mergeCell ref="AB62:AJ62"/>
    <mergeCell ref="B66:C66"/>
    <mergeCell ref="S66:Y66"/>
    <mergeCell ref="Z66:AJ66"/>
    <mergeCell ref="E64:F64"/>
    <mergeCell ref="G64:I64"/>
    <mergeCell ref="J64:S64"/>
    <mergeCell ref="T64:V64"/>
    <mergeCell ref="W64:AA64"/>
    <mergeCell ref="AB64:AJ64"/>
    <mergeCell ref="B65:I65"/>
    <mergeCell ref="A2:AE2"/>
    <mergeCell ref="B12:H12"/>
    <mergeCell ref="I17:O17"/>
    <mergeCell ref="P17:R17"/>
    <mergeCell ref="B6:H6"/>
    <mergeCell ref="I6:R6"/>
    <mergeCell ref="I7:R7"/>
    <mergeCell ref="I10:R10"/>
    <mergeCell ref="I11:R11"/>
    <mergeCell ref="I12:R12"/>
    <mergeCell ref="B10:H10"/>
    <mergeCell ref="B11:H11"/>
    <mergeCell ref="E17:H17"/>
    <mergeCell ref="T6:AH6"/>
    <mergeCell ref="T7:AH7"/>
    <mergeCell ref="T8:AH8"/>
    <mergeCell ref="T10:AH10"/>
    <mergeCell ref="T11:AH11"/>
    <mergeCell ref="T12:AH12"/>
    <mergeCell ref="T16:AH16"/>
    <mergeCell ref="T17:AH17"/>
    <mergeCell ref="B14:AI14"/>
  </mergeCells>
  <phoneticPr fontId="1"/>
  <conditionalFormatting sqref="T35">
    <cfRule type="expression" dxfId="12" priority="12">
      <formula>#REF!="独自計算"</formula>
    </cfRule>
  </conditionalFormatting>
  <conditionalFormatting sqref="T36:T46">
    <cfRule type="expression" dxfId="11" priority="9">
      <formula>#REF!="独自計算"</formula>
    </cfRule>
  </conditionalFormatting>
  <conditionalFormatting sqref="AS18:AX18 AN20">
    <cfRule type="expression" dxfId="10" priority="5">
      <formula>$W$29="その他"</formula>
    </cfRule>
  </conditionalFormatting>
  <conditionalFormatting sqref="M35:P46">
    <cfRule type="expression" dxfId="9" priority="3">
      <formula>$I$21="その他"</formula>
    </cfRule>
  </conditionalFormatting>
  <conditionalFormatting sqref="I27:R29">
    <cfRule type="expression" dxfId="8" priority="2">
      <formula>$I$26="非該当"</formula>
    </cfRule>
  </conditionalFormatting>
  <conditionalFormatting sqref="B50:AA64">
    <cfRule type="expression" dxfId="7" priority="1">
      <formula>$I$26="非該当"</formula>
    </cfRule>
  </conditionalFormatting>
  <dataValidations count="5">
    <dataValidation type="list" allowBlank="1" showInputMessage="1" showErrorMessage="1" sqref="I27:R27">
      <formula1>"有り,無し（一定速）"</formula1>
    </dataValidation>
    <dataValidation type="list" allowBlank="1" showInputMessage="1" showErrorMessage="1" sqref="I26">
      <formula1>"該当,非該当"</formula1>
    </dataValidation>
    <dataValidation type="list" allowBlank="1" showInputMessage="1" showErrorMessage="1" sqref="G35:G46 H36:I46 G52:G63">
      <formula1>"冷房,暖房"</formula1>
    </dataValidation>
    <dataValidation type="list" allowBlank="1" showInputMessage="1" showErrorMessage="1" sqref="P25:R25 P16:R17 AJ17:AJ26 AD24:AI25 AD20:AI20">
      <formula1>"kW,kcal/h"</formula1>
    </dataValidation>
    <dataValidation type="list" allowBlank="1" showInputMessage="1" showErrorMessage="1" sqref="AS10:BA10 AN10">
      <formula1>"吸収冷温水機(油),ジェネリンク(油)"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0" fitToWidth="0" orientation="portrait" cellComments="asDisplayed" r:id="rId1"/>
  <ignoredErrors>
    <ignoredError sqref="G36:I46 G35 M35:P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'&lt;吸収式&gt;マスタ'!$B$6:$B$8</xm:f>
          </x14:formula1>
          <xm:sqref>I21:R21</xm:sqref>
        </x14:dataValidation>
        <x14:dataValidation type="list" allowBlank="1" showInputMessage="1" showErrorMessage="1">
          <x14:formula1>
            <xm:f>'&lt;吸収式&gt;マスタ'!$F$12:$F$13</xm:f>
          </x14:formula1>
          <xm:sqref>I18:R20</xm:sqref>
        </x14:dataValidation>
        <x14:dataValidation type="list" allowBlank="1" showInputMessage="1" showErrorMessage="1">
          <x14:formula1>
            <xm:f>'&lt;吸収式&gt;マスタ'!$U$7:$U$74</xm:f>
          </x14:formula1>
          <xm:sqref>S30:AJ31</xm:sqref>
        </x14:dataValidation>
        <x14:dataValidation type="list" allowBlank="1" showInputMessage="1" showErrorMessage="1">
          <x14:formula1>
            <xm:f>'&lt;吸収式&gt;マスタ'!$U$7:$U$75</xm:f>
          </x14:formula1>
          <xm:sqref>I22:R22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4"/>
  <sheetViews>
    <sheetView showGridLines="0" view="pageBreakPreview" zoomScaleNormal="100" zoomScaleSheetLayoutView="100" workbookViewId="0">
      <selection sqref="A1:AE1"/>
    </sheetView>
  </sheetViews>
  <sheetFormatPr defaultRowHeight="13.5"/>
  <cols>
    <col min="1" max="31" width="2.875" style="35" customWidth="1"/>
    <col min="32" max="33" width="2.875" style="86" customWidth="1"/>
    <col min="34" max="36" width="2.875" style="35" customWidth="1"/>
    <col min="37" max="37" width="14.125" style="86" hidden="1" customWidth="1"/>
    <col min="38" max="38" width="16.75" style="86" hidden="1" customWidth="1"/>
    <col min="39" max="39" width="20" style="86" hidden="1" customWidth="1"/>
    <col min="40" max="40" width="6.75" style="86" hidden="1" customWidth="1"/>
    <col min="41" max="41" width="2.875" style="86" hidden="1" customWidth="1"/>
    <col min="42" max="42" width="11.375" style="87" hidden="1" customWidth="1"/>
    <col min="43" max="43" width="14.25" style="87" customWidth="1"/>
    <col min="44" max="52" width="9" style="41"/>
    <col min="53" max="53" width="13.625" style="41" customWidth="1"/>
    <col min="54" max="56" width="9" style="41"/>
    <col min="57" max="57" width="5.25" style="41" customWidth="1"/>
    <col min="58" max="60" width="9" style="41"/>
    <col min="61" max="61" width="2.875" style="41" customWidth="1"/>
    <col min="62" max="16384" width="9" style="41"/>
  </cols>
  <sheetData>
    <row r="1" spans="1:43" s="87" customFormat="1" ht="34.5" customHeight="1">
      <c r="A1" s="153" t="s">
        <v>235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49"/>
      <c r="AG1" s="149"/>
      <c r="AH1" s="86"/>
      <c r="AI1" s="86"/>
      <c r="AJ1" s="86"/>
      <c r="AK1" s="95"/>
      <c r="AL1" s="95"/>
      <c r="AM1" s="95"/>
      <c r="AN1" s="95"/>
      <c r="AO1" s="86"/>
    </row>
    <row r="2" spans="1:43" s="81" customFormat="1" ht="34.5" customHeight="1">
      <c r="A2" s="319"/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W2" s="319"/>
      <c r="X2" s="319"/>
      <c r="Y2" s="319"/>
      <c r="Z2" s="319"/>
      <c r="AA2" s="319"/>
      <c r="AB2" s="319"/>
      <c r="AC2" s="319"/>
      <c r="AD2" s="319"/>
      <c r="AE2" s="319"/>
      <c r="AF2" s="319"/>
      <c r="AG2" s="319"/>
      <c r="AH2" s="80"/>
      <c r="AI2" s="80"/>
      <c r="AJ2" s="80"/>
      <c r="AK2" s="95"/>
      <c r="AL2" s="95"/>
      <c r="AM2" s="95"/>
      <c r="AN2" s="95"/>
      <c r="AO2" s="86"/>
      <c r="AP2" s="87"/>
      <c r="AQ2" s="87"/>
    </row>
    <row r="3" spans="1:43" s="87" customFormat="1" ht="42.75" customHeight="1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86"/>
      <c r="AI3" s="86"/>
      <c r="AJ3" s="86"/>
      <c r="AK3" s="95"/>
      <c r="AL3" s="95"/>
      <c r="AM3" s="95"/>
      <c r="AN3" s="95"/>
      <c r="AO3" s="86"/>
    </row>
    <row r="4" spans="1:43" s="87" customFormat="1" ht="15" customHeight="1">
      <c r="A4" s="97"/>
      <c r="B4" s="300"/>
      <c r="C4" s="301"/>
      <c r="D4" s="301"/>
      <c r="E4" s="302"/>
      <c r="F4" s="303" t="s">
        <v>226</v>
      </c>
      <c r="G4" s="304"/>
      <c r="H4" s="304"/>
      <c r="I4" s="304"/>
      <c r="J4" s="304"/>
      <c r="K4" s="304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86"/>
      <c r="AI4" s="86"/>
      <c r="AJ4" s="86"/>
      <c r="AK4" s="95"/>
      <c r="AL4" s="95"/>
      <c r="AM4" s="95"/>
      <c r="AN4" s="95"/>
      <c r="AO4" s="86"/>
    </row>
    <row r="5" spans="1:43" ht="15" customHeight="1">
      <c r="A5" s="35" t="s">
        <v>117</v>
      </c>
      <c r="AN5" s="87"/>
      <c r="AO5" s="87"/>
    </row>
    <row r="6" spans="1:43" ht="15" customHeight="1">
      <c r="B6" s="161" t="s">
        <v>118</v>
      </c>
      <c r="C6" s="162"/>
      <c r="D6" s="162"/>
      <c r="E6" s="162"/>
      <c r="F6" s="162"/>
      <c r="G6" s="162"/>
      <c r="H6" s="163"/>
      <c r="I6" s="372" t="s">
        <v>123</v>
      </c>
      <c r="J6" s="373"/>
      <c r="K6" s="373"/>
      <c r="L6" s="373"/>
      <c r="M6" s="373"/>
      <c r="N6" s="373"/>
      <c r="O6" s="373"/>
      <c r="P6" s="373"/>
      <c r="Q6" s="373"/>
      <c r="R6" s="374"/>
      <c r="S6" s="107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41"/>
      <c r="AK6" s="112" t="s">
        <v>135</v>
      </c>
      <c r="AL6" s="113" t="s">
        <v>144</v>
      </c>
      <c r="AN6" s="87"/>
      <c r="AO6" s="87"/>
    </row>
    <row r="7" spans="1:43" ht="15" customHeight="1">
      <c r="B7" s="305" t="s">
        <v>231</v>
      </c>
      <c r="C7" s="306"/>
      <c r="D7" s="306"/>
      <c r="E7" s="306"/>
      <c r="F7" s="306"/>
      <c r="G7" s="306"/>
      <c r="H7" s="307"/>
      <c r="I7" s="167"/>
      <c r="J7" s="168"/>
      <c r="K7" s="168"/>
      <c r="L7" s="168"/>
      <c r="M7" s="168"/>
      <c r="N7" s="168"/>
      <c r="O7" s="168"/>
      <c r="P7" s="168"/>
      <c r="Q7" s="168"/>
      <c r="R7" s="169"/>
      <c r="S7" s="107"/>
      <c r="T7" s="173" t="s">
        <v>196</v>
      </c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41"/>
      <c r="AN7" s="87"/>
      <c r="AO7" s="87"/>
    </row>
    <row r="8" spans="1:43" ht="3" customHeight="1"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88"/>
      <c r="AG8" s="88"/>
      <c r="AH8" s="37"/>
      <c r="AN8" s="87"/>
      <c r="AO8" s="87"/>
    </row>
    <row r="9" spans="1:43" ht="15" customHeight="1">
      <c r="A9" s="35" t="s">
        <v>50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88"/>
      <c r="AG9" s="88"/>
      <c r="AH9" s="37"/>
      <c r="AN9" s="87"/>
      <c r="AO9" s="87"/>
    </row>
    <row r="10" spans="1:43" ht="15" customHeight="1">
      <c r="B10" s="170" t="s">
        <v>233</v>
      </c>
      <c r="C10" s="171"/>
      <c r="D10" s="171"/>
      <c r="E10" s="171"/>
      <c r="F10" s="171"/>
      <c r="G10" s="171"/>
      <c r="H10" s="172"/>
      <c r="I10" s="167" t="s">
        <v>51</v>
      </c>
      <c r="J10" s="168"/>
      <c r="K10" s="168"/>
      <c r="L10" s="168"/>
      <c r="M10" s="168"/>
      <c r="N10" s="168"/>
      <c r="O10" s="168"/>
      <c r="P10" s="168"/>
      <c r="Q10" s="168"/>
      <c r="R10" s="168"/>
      <c r="S10" s="107"/>
      <c r="T10" s="173" t="s">
        <v>234</v>
      </c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85"/>
      <c r="AL10" s="40"/>
      <c r="AM10" s="40"/>
      <c r="AN10" s="87"/>
      <c r="AO10" s="87"/>
    </row>
    <row r="11" spans="1:43" ht="30" customHeight="1">
      <c r="B11" s="161" t="s">
        <v>52</v>
      </c>
      <c r="C11" s="162"/>
      <c r="D11" s="162"/>
      <c r="E11" s="162"/>
      <c r="F11" s="162"/>
      <c r="G11" s="162"/>
      <c r="H11" s="163"/>
      <c r="I11" s="167" t="s">
        <v>91</v>
      </c>
      <c r="J11" s="168"/>
      <c r="K11" s="168"/>
      <c r="L11" s="168"/>
      <c r="M11" s="168"/>
      <c r="N11" s="168"/>
      <c r="O11" s="168"/>
      <c r="P11" s="168"/>
      <c r="Q11" s="168"/>
      <c r="R11" s="168"/>
      <c r="S11" s="107"/>
      <c r="T11" s="173" t="s">
        <v>197</v>
      </c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85"/>
      <c r="AN11" s="87"/>
      <c r="AO11" s="87"/>
    </row>
    <row r="12" spans="1:43" ht="15" customHeight="1">
      <c r="B12" s="161" t="s">
        <v>134</v>
      </c>
      <c r="C12" s="162"/>
      <c r="D12" s="162"/>
      <c r="E12" s="162"/>
      <c r="F12" s="162"/>
      <c r="G12" s="162"/>
      <c r="H12" s="163"/>
      <c r="I12" s="167" t="s">
        <v>185</v>
      </c>
      <c r="J12" s="168"/>
      <c r="K12" s="168"/>
      <c r="L12" s="168"/>
      <c r="M12" s="168"/>
      <c r="N12" s="168"/>
      <c r="O12" s="168"/>
      <c r="P12" s="168"/>
      <c r="Q12" s="168"/>
      <c r="R12" s="168"/>
      <c r="S12" s="107"/>
      <c r="T12" s="173" t="s">
        <v>190</v>
      </c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85"/>
      <c r="AK12" s="40"/>
      <c r="AL12" s="56"/>
      <c r="AN12" s="87"/>
      <c r="AO12" s="87"/>
    </row>
    <row r="13" spans="1:43" ht="15" customHeight="1">
      <c r="B13" s="154" t="s">
        <v>129</v>
      </c>
      <c r="C13" s="155"/>
      <c r="D13" s="155"/>
      <c r="E13" s="155"/>
      <c r="F13" s="155"/>
      <c r="G13" s="155"/>
      <c r="H13" s="156"/>
      <c r="I13" s="387">
        <v>2018</v>
      </c>
      <c r="J13" s="388"/>
      <c r="K13" s="388"/>
      <c r="L13" s="388"/>
      <c r="M13" s="388"/>
      <c r="N13" s="388"/>
      <c r="O13" s="388"/>
      <c r="P13" s="388"/>
      <c r="Q13" s="388"/>
      <c r="R13" s="388"/>
      <c r="S13" s="107"/>
      <c r="T13" s="173" t="s">
        <v>198</v>
      </c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75"/>
      <c r="AK13" s="40"/>
      <c r="AL13" s="56"/>
      <c r="AN13" s="87"/>
      <c r="AO13" s="87"/>
    </row>
    <row r="14" spans="1:43" ht="3" customHeight="1"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42"/>
      <c r="Q14" s="42"/>
      <c r="R14" s="42"/>
      <c r="S14" s="42"/>
      <c r="T14" s="42"/>
      <c r="U14" s="42"/>
      <c r="V14" s="42"/>
      <c r="W14" s="42"/>
      <c r="X14" s="42"/>
      <c r="Y14" s="37"/>
      <c r="Z14" s="37"/>
      <c r="AA14" s="37"/>
      <c r="AB14" s="37"/>
      <c r="AC14" s="37"/>
      <c r="AD14" s="37"/>
      <c r="AE14" s="37"/>
      <c r="AF14" s="88"/>
      <c r="AG14" s="88"/>
      <c r="AH14" s="37"/>
      <c r="AN14" s="87"/>
      <c r="AO14" s="87"/>
    </row>
    <row r="15" spans="1:43" s="83" customFormat="1" ht="17.25" customHeight="1">
      <c r="A15" s="86"/>
      <c r="B15" s="174" t="s">
        <v>200</v>
      </c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74"/>
      <c r="AD15" s="174"/>
      <c r="AE15" s="174"/>
      <c r="AF15" s="174"/>
      <c r="AG15" s="174"/>
      <c r="AH15" s="84"/>
      <c r="AI15" s="82"/>
      <c r="AJ15" s="82"/>
      <c r="AK15" s="86"/>
      <c r="AL15" s="86"/>
      <c r="AM15" s="86"/>
      <c r="AN15" s="87"/>
      <c r="AO15" s="87"/>
      <c r="AP15" s="87"/>
      <c r="AQ15" s="87"/>
    </row>
    <row r="16" spans="1:43" s="87" customFormat="1" ht="15" customHeight="1">
      <c r="A16" s="86" t="s">
        <v>171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9"/>
      <c r="Q16" s="89"/>
      <c r="R16" s="89"/>
      <c r="S16" s="89"/>
      <c r="T16" s="89"/>
      <c r="U16" s="89"/>
      <c r="V16" s="89"/>
      <c r="W16" s="89"/>
      <c r="X16" s="89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6"/>
      <c r="AJ16" s="86"/>
      <c r="AK16" s="86"/>
      <c r="AL16" s="86"/>
      <c r="AM16" s="86"/>
    </row>
    <row r="17" spans="1:50" ht="15" customHeight="1">
      <c r="B17" s="377" t="s">
        <v>186</v>
      </c>
      <c r="C17" s="277"/>
      <c r="D17" s="277"/>
      <c r="E17" s="163" t="s">
        <v>2</v>
      </c>
      <c r="F17" s="277"/>
      <c r="G17" s="277"/>
      <c r="H17" s="277"/>
      <c r="I17" s="157">
        <v>85</v>
      </c>
      <c r="J17" s="158"/>
      <c r="K17" s="158"/>
      <c r="L17" s="158"/>
      <c r="M17" s="158"/>
      <c r="N17" s="158"/>
      <c r="O17" s="158"/>
      <c r="P17" s="375" t="s">
        <v>162</v>
      </c>
      <c r="Q17" s="375"/>
      <c r="R17" s="376"/>
      <c r="S17" s="107"/>
      <c r="T17" s="173" t="s">
        <v>191</v>
      </c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3"/>
      <c r="AG17" s="173"/>
      <c r="AH17" s="57"/>
    </row>
    <row r="18" spans="1:50" s="87" customFormat="1" ht="15" customHeight="1">
      <c r="A18" s="86"/>
      <c r="B18" s="277"/>
      <c r="C18" s="277"/>
      <c r="D18" s="277"/>
      <c r="E18" s="162" t="s">
        <v>1</v>
      </c>
      <c r="F18" s="162"/>
      <c r="G18" s="162"/>
      <c r="H18" s="163"/>
      <c r="I18" s="157">
        <v>85</v>
      </c>
      <c r="J18" s="158"/>
      <c r="K18" s="158"/>
      <c r="L18" s="158"/>
      <c r="M18" s="158"/>
      <c r="N18" s="158"/>
      <c r="O18" s="158"/>
      <c r="P18" s="375" t="s">
        <v>162</v>
      </c>
      <c r="Q18" s="375"/>
      <c r="R18" s="376"/>
      <c r="S18" s="107"/>
      <c r="T18" s="173" t="s">
        <v>191</v>
      </c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91"/>
      <c r="AI18" s="86"/>
      <c r="AJ18" s="86"/>
      <c r="AK18" s="86"/>
      <c r="AL18" s="86"/>
      <c r="AM18" s="86"/>
      <c r="AN18" s="86"/>
      <c r="AO18" s="86"/>
    </row>
    <row r="19" spans="1:50" s="87" customFormat="1" ht="15" customHeight="1">
      <c r="A19" s="86"/>
      <c r="B19" s="277" t="s">
        <v>174</v>
      </c>
      <c r="C19" s="277"/>
      <c r="D19" s="277"/>
      <c r="E19" s="277"/>
      <c r="F19" s="277"/>
      <c r="G19" s="277"/>
      <c r="H19" s="277"/>
      <c r="I19" s="167" t="s">
        <v>73</v>
      </c>
      <c r="J19" s="168"/>
      <c r="K19" s="168"/>
      <c r="L19" s="168"/>
      <c r="M19" s="168"/>
      <c r="N19" s="168"/>
      <c r="O19" s="168"/>
      <c r="P19" s="168"/>
      <c r="Q19" s="168"/>
      <c r="R19" s="169"/>
      <c r="S19" s="100"/>
      <c r="T19" s="173" t="s">
        <v>199</v>
      </c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91"/>
      <c r="AI19" s="86"/>
      <c r="AJ19" s="86"/>
      <c r="AK19" s="112" t="s">
        <v>160</v>
      </c>
      <c r="AL19" s="114">
        <f>VLOOKUP(I19,'&lt;吸収式&gt;マスタ'!$F$6:$G$13,2,0)</f>
        <v>10800</v>
      </c>
      <c r="AM19" s="115" t="s">
        <v>161</v>
      </c>
      <c r="AN19" s="92"/>
      <c r="AO19" s="93"/>
      <c r="AP19" s="78"/>
      <c r="AQ19" s="78"/>
      <c r="AR19" s="78"/>
      <c r="AS19" s="78"/>
      <c r="AT19" s="78"/>
      <c r="AU19" s="78"/>
      <c r="AV19" s="93"/>
      <c r="AW19" s="94"/>
      <c r="AX19" s="94"/>
    </row>
    <row r="20" spans="1:50" s="57" customFormat="1" ht="3" customHeight="1">
      <c r="A20" s="39"/>
      <c r="B20" s="42"/>
      <c r="C20" s="42"/>
      <c r="D20" s="42"/>
      <c r="E20" s="91"/>
      <c r="F20" s="91"/>
      <c r="G20" s="91"/>
      <c r="H20" s="91"/>
      <c r="I20" s="79"/>
      <c r="J20" s="79"/>
      <c r="K20" s="79"/>
      <c r="L20" s="79"/>
      <c r="M20" s="79"/>
      <c r="N20" s="79"/>
      <c r="O20" s="79"/>
      <c r="P20" s="91"/>
      <c r="Q20" s="91"/>
      <c r="R20" s="91"/>
      <c r="S20" s="100"/>
      <c r="T20" s="100"/>
      <c r="U20" s="100"/>
      <c r="V20" s="100"/>
      <c r="W20" s="101"/>
      <c r="X20" s="101"/>
      <c r="Y20" s="101"/>
      <c r="Z20" s="101"/>
      <c r="AA20" s="101"/>
      <c r="AB20" s="101"/>
      <c r="AC20" s="101"/>
      <c r="AD20" s="100"/>
      <c r="AE20" s="100"/>
      <c r="AF20" s="98"/>
      <c r="AG20" s="98"/>
      <c r="AH20" s="91"/>
      <c r="AI20" s="39"/>
      <c r="AJ20" s="39"/>
      <c r="AK20" s="90"/>
      <c r="AL20" s="90"/>
      <c r="AM20" s="90"/>
      <c r="AN20" s="90"/>
      <c r="AO20" s="90"/>
    </row>
    <row r="21" spans="1:50" s="57" customFormat="1" ht="13.5" customHeight="1">
      <c r="A21" s="90" t="s">
        <v>173</v>
      </c>
      <c r="B21" s="89"/>
      <c r="C21" s="89"/>
      <c r="D21" s="89"/>
      <c r="E21" s="91"/>
      <c r="F21" s="91"/>
      <c r="G21" s="91"/>
      <c r="H21" s="91"/>
      <c r="I21" s="79"/>
      <c r="J21" s="79"/>
      <c r="K21" s="79"/>
      <c r="L21" s="79"/>
      <c r="M21" s="79"/>
      <c r="N21" s="79"/>
      <c r="O21" s="79"/>
      <c r="P21" s="91"/>
      <c r="Q21" s="91"/>
      <c r="R21" s="91"/>
      <c r="S21" s="100"/>
      <c r="T21" s="100"/>
      <c r="U21" s="100"/>
      <c r="V21" s="100"/>
      <c r="W21" s="101"/>
      <c r="X21" s="101"/>
      <c r="Y21" s="101"/>
      <c r="Z21" s="101"/>
      <c r="AA21" s="101"/>
      <c r="AB21" s="101"/>
      <c r="AC21" s="101"/>
      <c r="AD21" s="100"/>
      <c r="AE21" s="100"/>
      <c r="AF21" s="98"/>
      <c r="AG21" s="98"/>
      <c r="AH21" s="91"/>
      <c r="AI21" s="90"/>
      <c r="AJ21" s="90"/>
      <c r="AK21" s="90"/>
      <c r="AL21" s="90"/>
      <c r="AM21" s="90"/>
      <c r="AN21" s="90"/>
      <c r="AO21" s="90"/>
    </row>
    <row r="22" spans="1:50" s="57" customFormat="1" ht="13.5" customHeight="1">
      <c r="A22" s="90"/>
      <c r="B22" s="170" t="s">
        <v>54</v>
      </c>
      <c r="C22" s="171"/>
      <c r="D22" s="171"/>
      <c r="E22" s="171"/>
      <c r="F22" s="171"/>
      <c r="G22" s="171"/>
      <c r="H22" s="172"/>
      <c r="I22" s="372" t="str">
        <f>既存設備!I21:R21</f>
        <v>店舗</v>
      </c>
      <c r="J22" s="373"/>
      <c r="K22" s="373"/>
      <c r="L22" s="373"/>
      <c r="M22" s="373"/>
      <c r="N22" s="373"/>
      <c r="O22" s="373"/>
      <c r="P22" s="373"/>
      <c r="Q22" s="373"/>
      <c r="R22" s="374"/>
      <c r="S22" s="107"/>
      <c r="T22" s="173"/>
      <c r="U22" s="173"/>
      <c r="V22" s="173"/>
      <c r="W22" s="173"/>
      <c r="X22" s="173"/>
      <c r="Y22" s="173"/>
      <c r="Z22" s="173"/>
      <c r="AA22" s="173"/>
      <c r="AB22" s="173"/>
      <c r="AC22" s="173"/>
      <c r="AD22" s="173"/>
      <c r="AE22" s="173"/>
      <c r="AF22" s="173"/>
      <c r="AG22" s="173"/>
      <c r="AH22" s="91"/>
      <c r="AI22" s="90"/>
      <c r="AJ22" s="90"/>
      <c r="AK22" s="90"/>
      <c r="AL22" s="90"/>
      <c r="AM22" s="90"/>
      <c r="AN22" s="90"/>
      <c r="AO22" s="90"/>
    </row>
    <row r="23" spans="1:50" s="57" customFormat="1" ht="13.5" customHeight="1">
      <c r="A23" s="90"/>
      <c r="B23" s="161" t="s">
        <v>119</v>
      </c>
      <c r="C23" s="162"/>
      <c r="D23" s="162"/>
      <c r="E23" s="162"/>
      <c r="F23" s="162"/>
      <c r="G23" s="162"/>
      <c r="H23" s="163"/>
      <c r="I23" s="313">
        <v>1</v>
      </c>
      <c r="J23" s="314"/>
      <c r="K23" s="314"/>
      <c r="L23" s="314"/>
      <c r="M23" s="314"/>
      <c r="N23" s="314"/>
      <c r="O23" s="314"/>
      <c r="P23" s="389" t="s">
        <v>230</v>
      </c>
      <c r="Q23" s="390"/>
      <c r="R23" s="391"/>
      <c r="S23" s="107"/>
      <c r="T23" s="173" t="s">
        <v>194</v>
      </c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91"/>
      <c r="AI23" s="90"/>
      <c r="AJ23" s="90"/>
      <c r="AK23" s="90"/>
      <c r="AL23" s="90"/>
      <c r="AM23" s="90"/>
      <c r="AN23" s="90"/>
      <c r="AO23" s="90"/>
    </row>
    <row r="24" spans="1:50" s="57" customFormat="1" ht="3" customHeight="1">
      <c r="A24" s="90"/>
      <c r="B24" s="89"/>
      <c r="C24" s="89"/>
      <c r="D24" s="89"/>
      <c r="E24" s="91"/>
      <c r="F24" s="91"/>
      <c r="G24" s="91"/>
      <c r="H24" s="91"/>
      <c r="I24" s="79"/>
      <c r="J24" s="79"/>
      <c r="K24" s="79"/>
      <c r="L24" s="79"/>
      <c r="M24" s="79"/>
      <c r="N24" s="79"/>
      <c r="O24" s="79"/>
      <c r="P24" s="91"/>
      <c r="Q24" s="91"/>
      <c r="R24" s="91"/>
      <c r="S24" s="103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08"/>
      <c r="AH24" s="91"/>
      <c r="AI24" s="90"/>
      <c r="AJ24" s="90"/>
      <c r="AK24" s="90"/>
      <c r="AL24" s="90"/>
      <c r="AM24" s="90"/>
      <c r="AN24" s="90"/>
      <c r="AO24" s="90"/>
    </row>
    <row r="25" spans="1:50" s="57" customFormat="1" ht="11.25" customHeight="1">
      <c r="A25" s="90" t="s">
        <v>176</v>
      </c>
      <c r="B25" s="89"/>
      <c r="C25" s="89"/>
      <c r="D25" s="89"/>
      <c r="E25" s="91"/>
      <c r="F25" s="91"/>
      <c r="G25" s="91"/>
      <c r="H25" s="91"/>
      <c r="I25" s="79"/>
      <c r="J25" s="79"/>
      <c r="K25" s="79"/>
      <c r="L25" s="79"/>
      <c r="M25" s="79"/>
      <c r="N25" s="79"/>
      <c r="O25" s="79"/>
      <c r="P25" s="91"/>
      <c r="Q25" s="91"/>
      <c r="R25" s="91"/>
      <c r="S25" s="100"/>
      <c r="T25" s="100"/>
      <c r="U25" s="100"/>
      <c r="V25" s="100"/>
      <c r="W25" s="101"/>
      <c r="X25" s="101"/>
      <c r="Y25" s="101"/>
      <c r="Z25" s="101"/>
      <c r="AA25" s="101"/>
      <c r="AB25" s="101"/>
      <c r="AC25" s="101"/>
      <c r="AD25" s="100"/>
      <c r="AE25" s="100"/>
      <c r="AF25" s="98"/>
      <c r="AG25" s="98"/>
      <c r="AH25" s="91"/>
      <c r="AI25" s="90"/>
      <c r="AJ25" s="90"/>
      <c r="AK25" s="90"/>
      <c r="AL25" s="90"/>
      <c r="AM25" s="90"/>
      <c r="AN25" s="90"/>
      <c r="AO25" s="90"/>
    </row>
    <row r="26" spans="1:50" s="57" customFormat="1" ht="15" customHeight="1">
      <c r="A26" s="90"/>
      <c r="B26" s="277" t="s">
        <v>187</v>
      </c>
      <c r="C26" s="277"/>
      <c r="D26" s="277"/>
      <c r="E26" s="277"/>
      <c r="F26" s="277"/>
      <c r="G26" s="277"/>
      <c r="H26" s="277"/>
      <c r="I26" s="372" t="str">
        <f>既存設備!I26:R26</f>
        <v>該当</v>
      </c>
      <c r="J26" s="373"/>
      <c r="K26" s="373"/>
      <c r="L26" s="373"/>
      <c r="M26" s="373"/>
      <c r="N26" s="373"/>
      <c r="O26" s="373"/>
      <c r="P26" s="373"/>
      <c r="Q26" s="373"/>
      <c r="R26" s="374"/>
      <c r="S26" s="107"/>
      <c r="T26" s="173"/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E26" s="173"/>
      <c r="AF26" s="173"/>
      <c r="AG26" s="173"/>
      <c r="AH26" s="91"/>
      <c r="AI26" s="90"/>
      <c r="AJ26" s="90"/>
      <c r="AK26" s="90"/>
      <c r="AL26" s="90"/>
      <c r="AM26" s="90"/>
      <c r="AN26" s="90"/>
      <c r="AO26" s="90"/>
    </row>
    <row r="27" spans="1:50" s="57" customFormat="1" ht="30" customHeight="1">
      <c r="A27" s="39"/>
      <c r="B27" s="277" t="s">
        <v>103</v>
      </c>
      <c r="C27" s="277"/>
      <c r="D27" s="277"/>
      <c r="E27" s="286" t="s">
        <v>131</v>
      </c>
      <c r="F27" s="286"/>
      <c r="G27" s="286"/>
      <c r="H27" s="286"/>
      <c r="I27" s="287" t="s">
        <v>139</v>
      </c>
      <c r="J27" s="288"/>
      <c r="K27" s="288"/>
      <c r="L27" s="288"/>
      <c r="M27" s="288"/>
      <c r="N27" s="288"/>
      <c r="O27" s="288"/>
      <c r="P27" s="288"/>
      <c r="Q27" s="288"/>
      <c r="R27" s="289"/>
      <c r="S27" s="107"/>
      <c r="T27" s="173" t="str">
        <f>IF(I26="該当","←「有り」「無し（一定値）」から選択","←入力不要")</f>
        <v>←「有り」「無し（一定値）」から選択</v>
      </c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E27" s="173"/>
      <c r="AF27" s="173"/>
      <c r="AG27" s="173"/>
      <c r="AI27" s="39"/>
      <c r="AJ27" s="39"/>
      <c r="AK27" s="90"/>
      <c r="AL27" s="90"/>
      <c r="AM27" s="90"/>
      <c r="AN27" s="90"/>
      <c r="AO27" s="90"/>
      <c r="AP27" s="116" t="s">
        <v>169</v>
      </c>
    </row>
    <row r="28" spans="1:50" ht="30" customHeight="1">
      <c r="B28" s="277"/>
      <c r="C28" s="277"/>
      <c r="D28" s="277"/>
      <c r="E28" s="290" t="s">
        <v>93</v>
      </c>
      <c r="F28" s="291"/>
      <c r="G28" s="291"/>
      <c r="H28" s="291"/>
      <c r="I28" s="278">
        <v>90</v>
      </c>
      <c r="J28" s="279"/>
      <c r="K28" s="279"/>
      <c r="L28" s="279"/>
      <c r="M28" s="279"/>
      <c r="N28" s="279"/>
      <c r="O28" s="279"/>
      <c r="P28" s="280" t="s">
        <v>94</v>
      </c>
      <c r="Q28" s="280"/>
      <c r="R28" s="281"/>
      <c r="S28" s="107"/>
      <c r="T28" s="173" t="str">
        <f>IF(I26="該当","←水頭損失を入力（半角）","←入力不要")</f>
        <v>←水頭損失を入力（半角）</v>
      </c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41"/>
      <c r="AK28" s="117" t="s">
        <v>131</v>
      </c>
      <c r="AL28" s="117">
        <f>IF(I27="有り",0.5,1)</f>
        <v>0.5</v>
      </c>
      <c r="AM28" s="117" t="s">
        <v>95</v>
      </c>
      <c r="AN28" s="118">
        <f>ROUNDDOWN(AP28*AL28,1)</f>
        <v>21.3</v>
      </c>
      <c r="AP28" s="119">
        <f>ROUNDDOWN(1000*I29/3600*(I28+196)/0.8/0.93/1000,1)</f>
        <v>42.7</v>
      </c>
    </row>
    <row r="29" spans="1:50" s="87" customFormat="1" ht="15" customHeight="1">
      <c r="A29" s="86"/>
      <c r="B29" s="277"/>
      <c r="C29" s="277"/>
      <c r="D29" s="277"/>
      <c r="E29" s="163" t="s">
        <v>89</v>
      </c>
      <c r="F29" s="277"/>
      <c r="G29" s="277"/>
      <c r="H29" s="277"/>
      <c r="I29" s="278">
        <v>400</v>
      </c>
      <c r="J29" s="279"/>
      <c r="K29" s="279"/>
      <c r="L29" s="279"/>
      <c r="M29" s="279"/>
      <c r="N29" s="279"/>
      <c r="O29" s="279"/>
      <c r="P29" s="280" t="s">
        <v>236</v>
      </c>
      <c r="Q29" s="280"/>
      <c r="R29" s="281"/>
      <c r="S29" s="107"/>
      <c r="T29" s="173" t="str">
        <f>IF(I26="該当","←冷却水流量を入力（半角）","←入力不要")</f>
        <v>←冷却水流量を入力（半角）</v>
      </c>
      <c r="U29" s="173"/>
      <c r="V29" s="173"/>
      <c r="W29" s="173"/>
      <c r="X29" s="173"/>
      <c r="Y29" s="173"/>
      <c r="Z29" s="173"/>
      <c r="AA29" s="173"/>
      <c r="AB29" s="173"/>
      <c r="AC29" s="173"/>
      <c r="AD29" s="173"/>
      <c r="AE29" s="173"/>
      <c r="AF29" s="173"/>
      <c r="AG29" s="173"/>
      <c r="AH29" s="91"/>
      <c r="AI29" s="86"/>
      <c r="AJ29" s="86"/>
      <c r="AK29" s="40"/>
      <c r="AL29" s="40"/>
      <c r="AM29" s="40"/>
      <c r="AN29" s="120"/>
      <c r="AO29" s="86"/>
      <c r="AP29" s="93"/>
    </row>
    <row r="30" spans="1:50" ht="3" customHeight="1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88"/>
      <c r="AG30" s="88"/>
      <c r="AH30" s="37"/>
    </row>
    <row r="31" spans="1:50" s="87" customFormat="1" ht="3" customHeight="1">
      <c r="A31" s="86"/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6"/>
      <c r="AJ31" s="86"/>
      <c r="AK31" s="86"/>
      <c r="AL31" s="86"/>
      <c r="AM31" s="86"/>
      <c r="AN31" s="86"/>
      <c r="AO31" s="86"/>
    </row>
    <row r="32" spans="1:50" ht="15" customHeight="1">
      <c r="A32" s="35" t="s">
        <v>225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44"/>
      <c r="AF32" s="44"/>
      <c r="AG32" s="44"/>
      <c r="AH32" s="44"/>
    </row>
    <row r="33" spans="1:45" ht="30" customHeight="1">
      <c r="B33" s="222" t="s">
        <v>156</v>
      </c>
      <c r="C33" s="223"/>
      <c r="D33" s="224"/>
      <c r="E33" s="170" t="s">
        <v>56</v>
      </c>
      <c r="F33" s="172"/>
      <c r="G33" s="170" t="s">
        <v>14</v>
      </c>
      <c r="H33" s="171"/>
      <c r="I33" s="172"/>
      <c r="J33" s="270" t="s">
        <v>76</v>
      </c>
      <c r="K33" s="271"/>
      <c r="L33" s="272"/>
      <c r="M33" s="273" t="s">
        <v>133</v>
      </c>
      <c r="N33" s="370"/>
      <c r="O33" s="370"/>
      <c r="P33" s="371"/>
      <c r="Q33" s="170" t="s">
        <v>127</v>
      </c>
      <c r="R33" s="171"/>
      <c r="S33" s="172"/>
      <c r="T33" s="170" t="s">
        <v>110</v>
      </c>
      <c r="U33" s="171"/>
      <c r="V33" s="172"/>
      <c r="W33" s="170" t="s">
        <v>137</v>
      </c>
      <c r="X33" s="171"/>
      <c r="Y33" s="171"/>
      <c r="Z33" s="171"/>
      <c r="AA33" s="171"/>
      <c r="AB33" s="243"/>
      <c r="AC33" s="244"/>
      <c r="AD33" s="244"/>
      <c r="AE33" s="244"/>
      <c r="AF33" s="244"/>
      <c r="AG33" s="244"/>
      <c r="AH33" s="98"/>
    </row>
    <row r="34" spans="1:45" ht="15" customHeight="1" thickBot="1">
      <c r="B34" s="225"/>
      <c r="C34" s="226"/>
      <c r="D34" s="227"/>
      <c r="E34" s="154"/>
      <c r="F34" s="156"/>
      <c r="G34" s="154"/>
      <c r="H34" s="155"/>
      <c r="I34" s="156"/>
      <c r="J34" s="282" t="s">
        <v>100</v>
      </c>
      <c r="K34" s="283"/>
      <c r="L34" s="284"/>
      <c r="M34" s="293" t="s">
        <v>114</v>
      </c>
      <c r="N34" s="294"/>
      <c r="O34" s="294"/>
      <c r="P34" s="295"/>
      <c r="Q34" s="154"/>
      <c r="R34" s="155"/>
      <c r="S34" s="156"/>
      <c r="T34" s="293" t="s">
        <v>111</v>
      </c>
      <c r="U34" s="294"/>
      <c r="V34" s="295"/>
      <c r="W34" s="296" t="s">
        <v>223</v>
      </c>
      <c r="X34" s="297"/>
      <c r="Y34" s="297"/>
      <c r="Z34" s="297"/>
      <c r="AA34" s="297"/>
      <c r="AB34" s="243"/>
      <c r="AC34" s="244"/>
      <c r="AD34" s="244"/>
      <c r="AE34" s="244"/>
      <c r="AF34" s="244"/>
      <c r="AG34" s="244"/>
      <c r="AH34" s="98"/>
      <c r="AK34" s="121" t="s">
        <v>80</v>
      </c>
      <c r="AL34" s="121" t="s">
        <v>81</v>
      </c>
      <c r="AM34" s="121" t="s">
        <v>98</v>
      </c>
      <c r="AN34" s="121" t="s">
        <v>99</v>
      </c>
      <c r="AP34" s="95" t="s">
        <v>170</v>
      </c>
    </row>
    <row r="35" spans="1:45" ht="15" customHeight="1">
      <c r="B35" s="225"/>
      <c r="C35" s="226"/>
      <c r="D35" s="227"/>
      <c r="E35" s="194">
        <v>4</v>
      </c>
      <c r="F35" s="195"/>
      <c r="G35" s="335" t="str">
        <f>既存設備!G35:I35</f>
        <v>暖房</v>
      </c>
      <c r="H35" s="336"/>
      <c r="I35" s="336"/>
      <c r="J35" s="267">
        <f t="shared" ref="J35:J46" si="0">IF(G35="暖房",$I$18,$I$17)</f>
        <v>85</v>
      </c>
      <c r="K35" s="267"/>
      <c r="L35" s="267"/>
      <c r="M35" s="256">
        <f>既存設備!M35:P35</f>
        <v>0.16</v>
      </c>
      <c r="N35" s="257"/>
      <c r="O35" s="257"/>
      <c r="P35" s="258"/>
      <c r="Q35" s="259">
        <f>VLOOKUP(E35&amp;G35&amp;$I$22&amp;$I$6,'&lt;吸収式&gt;マスタ'!$AI$8:$AP$151,8,0)</f>
        <v>0.9</v>
      </c>
      <c r="R35" s="260"/>
      <c r="S35" s="261"/>
      <c r="T35" s="368">
        <v>300</v>
      </c>
      <c r="U35" s="369"/>
      <c r="V35" s="369"/>
      <c r="W35" s="347">
        <f t="shared" ref="W35:W46" si="1">ROUNDDOWN(AP35*M35*T35*$I$23/$AM$35,1)</f>
        <v>5268.8</v>
      </c>
      <c r="X35" s="348"/>
      <c r="Y35" s="348"/>
      <c r="Z35" s="348"/>
      <c r="AA35" s="349"/>
      <c r="AB35" s="192"/>
      <c r="AC35" s="192"/>
      <c r="AD35" s="192"/>
      <c r="AE35" s="192"/>
      <c r="AF35" s="192"/>
      <c r="AG35" s="192"/>
      <c r="AH35" s="104"/>
      <c r="AK35" s="122">
        <f>VLOOKUP(E35&amp;$I$22,'&lt;吸収式&gt;マスタ'!$Z$8:$AB$31,2,0)</f>
        <v>0</v>
      </c>
      <c r="AL35" s="122">
        <f>VLOOKUP(E35&amp;$I$22,'&lt;吸収式&gt;マスタ'!$Z$8:$AB$31,3,0)</f>
        <v>0.16</v>
      </c>
      <c r="AM35" s="121">
        <f>VLOOKUP(I19,'&lt;吸収式&gt;マスタ'!F7:M14,7,0)</f>
        <v>0.86</v>
      </c>
      <c r="AN35" s="121">
        <f>VLOOKUP(I19,'&lt;吸収式&gt;マスタ'!F7:M14,8,0)</f>
        <v>39.1</v>
      </c>
      <c r="AP35" s="123">
        <f>ROUNDDOWN(J35/Q35,1)</f>
        <v>94.4</v>
      </c>
      <c r="AS35" s="69"/>
    </row>
    <row r="36" spans="1:45" ht="15" customHeight="1">
      <c r="B36" s="225"/>
      <c r="C36" s="226"/>
      <c r="D36" s="227"/>
      <c r="E36" s="194">
        <v>5</v>
      </c>
      <c r="F36" s="195"/>
      <c r="G36" s="335" t="str">
        <f>既存設備!G36:I36</f>
        <v>冷房</v>
      </c>
      <c r="H36" s="336"/>
      <c r="I36" s="336"/>
      <c r="J36" s="267">
        <f t="shared" si="0"/>
        <v>85</v>
      </c>
      <c r="K36" s="267"/>
      <c r="L36" s="267"/>
      <c r="M36" s="256">
        <f>既存設備!M36:P36</f>
        <v>0.29599999999999999</v>
      </c>
      <c r="N36" s="257"/>
      <c r="O36" s="257"/>
      <c r="P36" s="258"/>
      <c r="Q36" s="259">
        <f>VLOOKUP(E36&amp;G36&amp;$I$22&amp;$I$6,'&lt;吸収式&gt;マスタ'!$AI$8:$AP$151,8,0)</f>
        <v>0.96</v>
      </c>
      <c r="R36" s="260"/>
      <c r="S36" s="261"/>
      <c r="T36" s="368">
        <v>300</v>
      </c>
      <c r="U36" s="369"/>
      <c r="V36" s="369"/>
      <c r="W36" s="323">
        <f t="shared" si="1"/>
        <v>9138.1</v>
      </c>
      <c r="X36" s="324"/>
      <c r="Y36" s="324"/>
      <c r="Z36" s="324"/>
      <c r="AA36" s="325"/>
      <c r="AB36" s="192"/>
      <c r="AC36" s="192"/>
      <c r="AD36" s="192"/>
      <c r="AE36" s="192"/>
      <c r="AF36" s="192"/>
      <c r="AG36" s="192"/>
      <c r="AH36" s="104"/>
      <c r="AK36" s="122">
        <f>VLOOKUP(E36&amp;$I$22,'&lt;吸収式&gt;マスタ'!$Z$8:$AB$31,2,0)</f>
        <v>0.29599999999999999</v>
      </c>
      <c r="AL36" s="122">
        <f>VLOOKUP(E36&amp;$I$22,'&lt;吸収式&gt;マスタ'!$Z$8:$AB$31,3,0)</f>
        <v>0</v>
      </c>
      <c r="AP36" s="123">
        <f t="shared" ref="AP36:AP46" si="2">ROUNDDOWN(J36/Q36,1)</f>
        <v>88.5</v>
      </c>
      <c r="AS36" s="69"/>
    </row>
    <row r="37" spans="1:45" ht="15" customHeight="1">
      <c r="B37" s="225"/>
      <c r="C37" s="226"/>
      <c r="D37" s="227"/>
      <c r="E37" s="194">
        <v>6</v>
      </c>
      <c r="F37" s="195"/>
      <c r="G37" s="335" t="str">
        <f>既存設備!G37:I37</f>
        <v>冷房</v>
      </c>
      <c r="H37" s="336"/>
      <c r="I37" s="336"/>
      <c r="J37" s="267">
        <f t="shared" si="0"/>
        <v>85</v>
      </c>
      <c r="K37" s="267"/>
      <c r="L37" s="267"/>
      <c r="M37" s="256">
        <f>既存設備!M37:P37</f>
        <v>0.435</v>
      </c>
      <c r="N37" s="257"/>
      <c r="O37" s="257"/>
      <c r="P37" s="258"/>
      <c r="Q37" s="259">
        <f>VLOOKUP(E37&amp;G37&amp;$I$22&amp;$I$6,'&lt;吸収式&gt;マスタ'!$AI$8:$AP$151,8,0)</f>
        <v>1.07</v>
      </c>
      <c r="R37" s="260"/>
      <c r="S37" s="261"/>
      <c r="T37" s="368">
        <v>300</v>
      </c>
      <c r="U37" s="369"/>
      <c r="V37" s="369"/>
      <c r="W37" s="323">
        <f t="shared" si="1"/>
        <v>12048.4</v>
      </c>
      <c r="X37" s="324"/>
      <c r="Y37" s="324"/>
      <c r="Z37" s="324"/>
      <c r="AA37" s="325"/>
      <c r="AB37" s="192"/>
      <c r="AC37" s="192"/>
      <c r="AD37" s="192"/>
      <c r="AE37" s="192"/>
      <c r="AF37" s="192"/>
      <c r="AG37" s="192"/>
      <c r="AH37" s="104"/>
      <c r="AK37" s="122">
        <f>VLOOKUP(E37&amp;$I$22,'&lt;吸収式&gt;マスタ'!$Z$8:$AB$31,2,0)</f>
        <v>0.435</v>
      </c>
      <c r="AL37" s="122">
        <f>VLOOKUP(E37&amp;$I$22,'&lt;吸収式&gt;マスタ'!$Z$8:$AB$31,3,0)</f>
        <v>0</v>
      </c>
      <c r="AP37" s="123">
        <f t="shared" si="2"/>
        <v>79.400000000000006</v>
      </c>
      <c r="AS37" s="69"/>
    </row>
    <row r="38" spans="1:45" ht="15" customHeight="1">
      <c r="B38" s="225"/>
      <c r="C38" s="226"/>
      <c r="D38" s="227"/>
      <c r="E38" s="194">
        <v>7</v>
      </c>
      <c r="F38" s="195"/>
      <c r="G38" s="335" t="str">
        <f>既存設備!G38:I38</f>
        <v>冷房</v>
      </c>
      <c r="H38" s="336"/>
      <c r="I38" s="336"/>
      <c r="J38" s="267">
        <f t="shared" si="0"/>
        <v>85</v>
      </c>
      <c r="K38" s="267"/>
      <c r="L38" s="267"/>
      <c r="M38" s="256">
        <f>既存設備!M38:P38</f>
        <v>0.64100000000000001</v>
      </c>
      <c r="N38" s="257"/>
      <c r="O38" s="257"/>
      <c r="P38" s="258"/>
      <c r="Q38" s="259">
        <f>VLOOKUP(E38&amp;G38&amp;$I$22&amp;$I$6,'&lt;吸収式&gt;マスタ'!$AI$8:$AP$151,8,0)</f>
        <v>1.05</v>
      </c>
      <c r="R38" s="260"/>
      <c r="S38" s="261"/>
      <c r="T38" s="368">
        <v>300</v>
      </c>
      <c r="U38" s="369"/>
      <c r="V38" s="369"/>
      <c r="W38" s="323">
        <f t="shared" si="1"/>
        <v>18089.599999999999</v>
      </c>
      <c r="X38" s="324"/>
      <c r="Y38" s="324"/>
      <c r="Z38" s="324"/>
      <c r="AA38" s="325"/>
      <c r="AB38" s="192"/>
      <c r="AC38" s="192"/>
      <c r="AD38" s="192"/>
      <c r="AE38" s="192"/>
      <c r="AF38" s="192"/>
      <c r="AG38" s="192"/>
      <c r="AH38" s="104"/>
      <c r="AK38" s="122">
        <f>VLOOKUP(E38&amp;$I$22,'&lt;吸収式&gt;マスタ'!$Z$8:$AB$31,2,0)</f>
        <v>0.64100000000000001</v>
      </c>
      <c r="AL38" s="122">
        <f>VLOOKUP(E38&amp;$I$22,'&lt;吸収式&gt;マスタ'!$Z$8:$AB$31,3,0)</f>
        <v>0</v>
      </c>
      <c r="AP38" s="123">
        <f t="shared" si="2"/>
        <v>80.900000000000006</v>
      </c>
      <c r="AS38" s="69"/>
    </row>
    <row r="39" spans="1:45" ht="15" customHeight="1">
      <c r="B39" s="225"/>
      <c r="C39" s="226"/>
      <c r="D39" s="227"/>
      <c r="E39" s="194">
        <v>8</v>
      </c>
      <c r="F39" s="195"/>
      <c r="G39" s="335" t="str">
        <f>既存設備!G39:I39</f>
        <v>冷房</v>
      </c>
      <c r="H39" s="336"/>
      <c r="I39" s="336"/>
      <c r="J39" s="267">
        <f t="shared" si="0"/>
        <v>85</v>
      </c>
      <c r="K39" s="267"/>
      <c r="L39" s="267"/>
      <c r="M39" s="256">
        <f>既存設備!M39:P39</f>
        <v>0.69299999999999995</v>
      </c>
      <c r="N39" s="257"/>
      <c r="O39" s="257"/>
      <c r="P39" s="258"/>
      <c r="Q39" s="259">
        <f>VLOOKUP(E39&amp;G39&amp;$I$22&amp;$I$6,'&lt;吸収式&gt;マスタ'!$AI$8:$AP$151,8,0)</f>
        <v>1.04</v>
      </c>
      <c r="R39" s="260"/>
      <c r="S39" s="261"/>
      <c r="T39" s="368">
        <v>300</v>
      </c>
      <c r="U39" s="369"/>
      <c r="V39" s="369"/>
      <c r="W39" s="323">
        <f t="shared" si="1"/>
        <v>19750.5</v>
      </c>
      <c r="X39" s="324"/>
      <c r="Y39" s="324"/>
      <c r="Z39" s="324"/>
      <c r="AA39" s="325"/>
      <c r="AB39" s="320"/>
      <c r="AC39" s="320"/>
      <c r="AD39" s="320"/>
      <c r="AE39" s="320"/>
      <c r="AF39" s="320"/>
      <c r="AG39" s="320"/>
      <c r="AH39" s="105"/>
      <c r="AK39" s="122">
        <f>VLOOKUP(E39&amp;$I$22,'&lt;吸収式&gt;マスタ'!$Z$8:$AB$31,2,0)</f>
        <v>0.69299999999999995</v>
      </c>
      <c r="AL39" s="122">
        <f>VLOOKUP(E39&amp;$I$22,'&lt;吸収式&gt;マスタ'!$Z$8:$AB$31,3,0)</f>
        <v>0</v>
      </c>
      <c r="AP39" s="123">
        <f t="shared" si="2"/>
        <v>81.7</v>
      </c>
      <c r="AS39" s="69"/>
    </row>
    <row r="40" spans="1:45" ht="15" customHeight="1">
      <c r="B40" s="225"/>
      <c r="C40" s="226"/>
      <c r="D40" s="227"/>
      <c r="E40" s="194">
        <v>9</v>
      </c>
      <c r="F40" s="195"/>
      <c r="G40" s="335" t="str">
        <f>既存設備!G40:I40</f>
        <v>冷房</v>
      </c>
      <c r="H40" s="336"/>
      <c r="I40" s="336"/>
      <c r="J40" s="267">
        <f t="shared" si="0"/>
        <v>85</v>
      </c>
      <c r="K40" s="267"/>
      <c r="L40" s="267"/>
      <c r="M40" s="256">
        <f>既存設備!M40:P40</f>
        <v>0.47</v>
      </c>
      <c r="N40" s="257"/>
      <c r="O40" s="257"/>
      <c r="P40" s="258"/>
      <c r="Q40" s="259">
        <f>VLOOKUP(E40&amp;G40&amp;$I$22&amp;$I$6,'&lt;吸収式&gt;マスタ'!$AI$8:$AP$151,8,0)</f>
        <v>1.07</v>
      </c>
      <c r="R40" s="260"/>
      <c r="S40" s="261"/>
      <c r="T40" s="368">
        <v>300</v>
      </c>
      <c r="U40" s="369"/>
      <c r="V40" s="369"/>
      <c r="W40" s="323">
        <f t="shared" si="1"/>
        <v>13017.9</v>
      </c>
      <c r="X40" s="324"/>
      <c r="Y40" s="324"/>
      <c r="Z40" s="324"/>
      <c r="AA40" s="325"/>
      <c r="AB40" s="192"/>
      <c r="AC40" s="192"/>
      <c r="AD40" s="192"/>
      <c r="AE40" s="192"/>
      <c r="AF40" s="192"/>
      <c r="AG40" s="192"/>
      <c r="AH40" s="104"/>
      <c r="AK40" s="122">
        <f>VLOOKUP(E40&amp;$I$22,'&lt;吸収式&gt;マスタ'!$Z$8:$AB$31,2,0)</f>
        <v>0.47</v>
      </c>
      <c r="AL40" s="122">
        <f>VLOOKUP(E40&amp;$I$22,'&lt;吸収式&gt;マスタ'!$Z$8:$AB$31,3,0)</f>
        <v>0</v>
      </c>
      <c r="AP40" s="123">
        <f t="shared" si="2"/>
        <v>79.400000000000006</v>
      </c>
      <c r="AS40" s="69"/>
    </row>
    <row r="41" spans="1:45" ht="15" customHeight="1">
      <c r="B41" s="225"/>
      <c r="C41" s="226"/>
      <c r="D41" s="227"/>
      <c r="E41" s="194">
        <v>10</v>
      </c>
      <c r="F41" s="195"/>
      <c r="G41" s="335" t="str">
        <f>既存設備!G41:I41</f>
        <v>冷房</v>
      </c>
      <c r="H41" s="336"/>
      <c r="I41" s="336"/>
      <c r="J41" s="267">
        <f t="shared" si="0"/>
        <v>85</v>
      </c>
      <c r="K41" s="267"/>
      <c r="L41" s="267"/>
      <c r="M41" s="256">
        <f>既存設備!M41:P41</f>
        <v>0.36399999999999999</v>
      </c>
      <c r="N41" s="257"/>
      <c r="O41" s="257"/>
      <c r="P41" s="258"/>
      <c r="Q41" s="259">
        <f>VLOOKUP(E41&amp;G41&amp;$I$22&amp;$I$6,'&lt;吸収式&gt;マスタ'!$AI$8:$AP$151,8,0)</f>
        <v>1.07</v>
      </c>
      <c r="R41" s="260"/>
      <c r="S41" s="261"/>
      <c r="T41" s="368">
        <v>300</v>
      </c>
      <c r="U41" s="369"/>
      <c r="V41" s="369"/>
      <c r="W41" s="323">
        <f t="shared" si="1"/>
        <v>10081.9</v>
      </c>
      <c r="X41" s="324"/>
      <c r="Y41" s="324"/>
      <c r="Z41" s="324"/>
      <c r="AA41" s="325"/>
      <c r="AB41" s="192"/>
      <c r="AC41" s="192"/>
      <c r="AD41" s="192"/>
      <c r="AE41" s="192"/>
      <c r="AF41" s="192"/>
      <c r="AG41" s="192"/>
      <c r="AH41" s="104"/>
      <c r="AK41" s="122">
        <f>VLOOKUP(E41&amp;$I$22,'&lt;吸収式&gt;マスタ'!$Z$8:$AB$31,2,0)</f>
        <v>0.36399999999999999</v>
      </c>
      <c r="AL41" s="122">
        <f>VLOOKUP(E41&amp;$I$22,'&lt;吸収式&gt;マスタ'!$Z$8:$AB$31,3,0)</f>
        <v>0</v>
      </c>
      <c r="AP41" s="123">
        <f t="shared" si="2"/>
        <v>79.400000000000006</v>
      </c>
      <c r="AS41" s="69"/>
    </row>
    <row r="42" spans="1:45" ht="15" customHeight="1">
      <c r="B42" s="225"/>
      <c r="C42" s="226"/>
      <c r="D42" s="227"/>
      <c r="E42" s="194">
        <v>11</v>
      </c>
      <c r="F42" s="195"/>
      <c r="G42" s="335" t="str">
        <f>既存設備!G42:I42</f>
        <v>暖房</v>
      </c>
      <c r="H42" s="336"/>
      <c r="I42" s="336"/>
      <c r="J42" s="267">
        <f t="shared" si="0"/>
        <v>85</v>
      </c>
      <c r="K42" s="267"/>
      <c r="L42" s="267"/>
      <c r="M42" s="256">
        <f>既存設備!M42:P42</f>
        <v>0.154</v>
      </c>
      <c r="N42" s="257"/>
      <c r="O42" s="257"/>
      <c r="P42" s="258"/>
      <c r="Q42" s="259">
        <f>VLOOKUP(E42&amp;G42&amp;$I$22&amp;$I$6,'&lt;吸収式&gt;マスタ'!$AI$8:$AP$151,8,0)</f>
        <v>0.9</v>
      </c>
      <c r="R42" s="260"/>
      <c r="S42" s="261"/>
      <c r="T42" s="368">
        <v>300</v>
      </c>
      <c r="U42" s="369"/>
      <c r="V42" s="369"/>
      <c r="W42" s="323">
        <f t="shared" si="1"/>
        <v>5071.2</v>
      </c>
      <c r="X42" s="324"/>
      <c r="Y42" s="324"/>
      <c r="Z42" s="324"/>
      <c r="AA42" s="325"/>
      <c r="AB42" s="192"/>
      <c r="AC42" s="192"/>
      <c r="AD42" s="192"/>
      <c r="AE42" s="192"/>
      <c r="AF42" s="192"/>
      <c r="AG42" s="192"/>
      <c r="AH42" s="104"/>
      <c r="AK42" s="122">
        <f>VLOOKUP(E42&amp;$I$22,'&lt;吸収式&gt;マスタ'!$Z$8:$AB$31,2,0)</f>
        <v>0</v>
      </c>
      <c r="AL42" s="122">
        <f>VLOOKUP(E42&amp;$I$22,'&lt;吸収式&gt;マスタ'!$Z$8:$AB$31,3,0)</f>
        <v>0.154</v>
      </c>
      <c r="AP42" s="123">
        <f t="shared" si="2"/>
        <v>94.4</v>
      </c>
      <c r="AS42" s="69"/>
    </row>
    <row r="43" spans="1:45" ht="15" customHeight="1">
      <c r="B43" s="225"/>
      <c r="C43" s="226"/>
      <c r="D43" s="227"/>
      <c r="E43" s="194">
        <v>12</v>
      </c>
      <c r="F43" s="195"/>
      <c r="G43" s="335" t="str">
        <f>既存設備!G43:I43</f>
        <v>暖房</v>
      </c>
      <c r="H43" s="336"/>
      <c r="I43" s="336"/>
      <c r="J43" s="267">
        <f t="shared" si="0"/>
        <v>85</v>
      </c>
      <c r="K43" s="267"/>
      <c r="L43" s="267"/>
      <c r="M43" s="256">
        <f>既存設備!M43:P43</f>
        <v>0.371</v>
      </c>
      <c r="N43" s="257"/>
      <c r="O43" s="257"/>
      <c r="P43" s="258"/>
      <c r="Q43" s="259">
        <f>VLOOKUP(E43&amp;G43&amp;$I$22&amp;$I$6,'&lt;吸収式&gt;マスタ'!$AI$8:$AP$151,8,0)</f>
        <v>1</v>
      </c>
      <c r="R43" s="260"/>
      <c r="S43" s="261"/>
      <c r="T43" s="368">
        <v>300</v>
      </c>
      <c r="U43" s="369"/>
      <c r="V43" s="369"/>
      <c r="W43" s="323">
        <f t="shared" si="1"/>
        <v>11000.5</v>
      </c>
      <c r="X43" s="324"/>
      <c r="Y43" s="324"/>
      <c r="Z43" s="324"/>
      <c r="AA43" s="325"/>
      <c r="AB43" s="192"/>
      <c r="AC43" s="192"/>
      <c r="AD43" s="192"/>
      <c r="AE43" s="192"/>
      <c r="AF43" s="192"/>
      <c r="AG43" s="192"/>
      <c r="AH43" s="104"/>
      <c r="AK43" s="122">
        <f>VLOOKUP(E43&amp;$I$22,'&lt;吸収式&gt;マスタ'!$Z$8:$AB$31,2,0)</f>
        <v>0</v>
      </c>
      <c r="AL43" s="122">
        <f>VLOOKUP(E43&amp;$I$22,'&lt;吸収式&gt;マスタ'!$Z$8:$AB$31,3,0)</f>
        <v>0.371</v>
      </c>
      <c r="AP43" s="123">
        <f t="shared" si="2"/>
        <v>85</v>
      </c>
      <c r="AS43" s="69"/>
    </row>
    <row r="44" spans="1:45" ht="15" customHeight="1">
      <c r="B44" s="225"/>
      <c r="C44" s="226"/>
      <c r="D44" s="227"/>
      <c r="E44" s="194">
        <v>1</v>
      </c>
      <c r="F44" s="195"/>
      <c r="G44" s="335" t="str">
        <f>既存設備!G44:I44</f>
        <v>暖房</v>
      </c>
      <c r="H44" s="336"/>
      <c r="I44" s="336"/>
      <c r="J44" s="267">
        <f t="shared" si="0"/>
        <v>85</v>
      </c>
      <c r="K44" s="267"/>
      <c r="L44" s="267"/>
      <c r="M44" s="256">
        <f>既存設備!M44:P44</f>
        <v>0.56200000000000006</v>
      </c>
      <c r="N44" s="257"/>
      <c r="O44" s="257"/>
      <c r="P44" s="258"/>
      <c r="Q44" s="259">
        <f>VLOOKUP(E44&amp;G44&amp;$I$22&amp;$I$6,'&lt;吸収式&gt;マスタ'!$AI$8:$AP$151,8,0)</f>
        <v>1</v>
      </c>
      <c r="R44" s="260"/>
      <c r="S44" s="261"/>
      <c r="T44" s="368">
        <v>300</v>
      </c>
      <c r="U44" s="369"/>
      <c r="V44" s="369"/>
      <c r="W44" s="323">
        <f t="shared" si="1"/>
        <v>16663.900000000001</v>
      </c>
      <c r="X44" s="324"/>
      <c r="Y44" s="324"/>
      <c r="Z44" s="324"/>
      <c r="AA44" s="325"/>
      <c r="AB44" s="192"/>
      <c r="AC44" s="192"/>
      <c r="AD44" s="192"/>
      <c r="AE44" s="192"/>
      <c r="AF44" s="192"/>
      <c r="AG44" s="192"/>
      <c r="AH44" s="104"/>
      <c r="AK44" s="122">
        <f>VLOOKUP(E44&amp;$I$22,'&lt;吸収式&gt;マスタ'!$Z$8:$AB$31,2,0)</f>
        <v>0</v>
      </c>
      <c r="AL44" s="122">
        <f>VLOOKUP(E44&amp;$I$22,'&lt;吸収式&gt;マスタ'!$Z$8:$AB$31,3,0)</f>
        <v>0.56200000000000006</v>
      </c>
      <c r="AP44" s="123">
        <f t="shared" si="2"/>
        <v>85</v>
      </c>
      <c r="AS44" s="69"/>
    </row>
    <row r="45" spans="1:45" ht="15" customHeight="1">
      <c r="A45" s="38"/>
      <c r="B45" s="225"/>
      <c r="C45" s="226"/>
      <c r="D45" s="227"/>
      <c r="E45" s="194">
        <v>2</v>
      </c>
      <c r="F45" s="195"/>
      <c r="G45" s="335" t="str">
        <f>既存設備!G45:I45</f>
        <v>暖房</v>
      </c>
      <c r="H45" s="336"/>
      <c r="I45" s="336"/>
      <c r="J45" s="267">
        <f t="shared" si="0"/>
        <v>85</v>
      </c>
      <c r="K45" s="267"/>
      <c r="L45" s="267"/>
      <c r="M45" s="256">
        <f>既存設備!M45:P45</f>
        <v>0.56200000000000006</v>
      </c>
      <c r="N45" s="257"/>
      <c r="O45" s="257"/>
      <c r="P45" s="258"/>
      <c r="Q45" s="259">
        <f>VLOOKUP(E45&amp;G45&amp;$I$22&amp;$I$6,'&lt;吸収式&gt;マスタ'!$AI$8:$AP$151,8,0)</f>
        <v>1</v>
      </c>
      <c r="R45" s="260"/>
      <c r="S45" s="261"/>
      <c r="T45" s="368">
        <v>300</v>
      </c>
      <c r="U45" s="369"/>
      <c r="V45" s="369"/>
      <c r="W45" s="323">
        <f t="shared" si="1"/>
        <v>16663.900000000001</v>
      </c>
      <c r="X45" s="324"/>
      <c r="Y45" s="324"/>
      <c r="Z45" s="324"/>
      <c r="AA45" s="325"/>
      <c r="AB45" s="310" t="s">
        <v>229</v>
      </c>
      <c r="AC45" s="311"/>
      <c r="AD45" s="311"/>
      <c r="AE45" s="311"/>
      <c r="AF45" s="311"/>
      <c r="AG45" s="311"/>
      <c r="AH45" s="311"/>
      <c r="AK45" s="122">
        <f>VLOOKUP(E45&amp;$I$22,'&lt;吸収式&gt;マスタ'!$Z$8:$AB$31,2,0)</f>
        <v>0</v>
      </c>
      <c r="AL45" s="122">
        <f>VLOOKUP(E45&amp;$I$22,'&lt;吸収式&gt;マスタ'!$Z$8:$AB$31,3,0)</f>
        <v>0.56200000000000006</v>
      </c>
      <c r="AP45" s="123">
        <f t="shared" si="2"/>
        <v>85</v>
      </c>
      <c r="AS45" s="69"/>
    </row>
    <row r="46" spans="1:45" ht="15" customHeight="1" thickBot="1">
      <c r="A46" s="38"/>
      <c r="B46" s="225"/>
      <c r="C46" s="226"/>
      <c r="D46" s="227"/>
      <c r="E46" s="194">
        <v>3</v>
      </c>
      <c r="F46" s="195"/>
      <c r="G46" s="335" t="str">
        <f>既存設備!G46:I46</f>
        <v>暖房</v>
      </c>
      <c r="H46" s="336"/>
      <c r="I46" s="336"/>
      <c r="J46" s="267">
        <f t="shared" si="0"/>
        <v>85</v>
      </c>
      <c r="K46" s="267"/>
      <c r="L46" s="267"/>
      <c r="M46" s="256">
        <f>既存設備!M46:P46</f>
        <v>0.27300000000000002</v>
      </c>
      <c r="N46" s="257"/>
      <c r="O46" s="257"/>
      <c r="P46" s="258"/>
      <c r="Q46" s="259">
        <f>VLOOKUP(E46&amp;G46&amp;$I$22&amp;$I$6,'&lt;吸収式&gt;マスタ'!$AI$8:$AP$151,8,0)</f>
        <v>0.9</v>
      </c>
      <c r="R46" s="260"/>
      <c r="S46" s="261"/>
      <c r="T46" s="366">
        <v>300</v>
      </c>
      <c r="U46" s="367"/>
      <c r="V46" s="367"/>
      <c r="W46" s="344">
        <f t="shared" si="1"/>
        <v>8989.9</v>
      </c>
      <c r="X46" s="345"/>
      <c r="Y46" s="345"/>
      <c r="Z46" s="345"/>
      <c r="AA46" s="346"/>
      <c r="AB46" s="311"/>
      <c r="AC46" s="311"/>
      <c r="AD46" s="311"/>
      <c r="AE46" s="311"/>
      <c r="AF46" s="311"/>
      <c r="AG46" s="311"/>
      <c r="AH46" s="311"/>
      <c r="AK46" s="122">
        <f>VLOOKUP(E46&amp;$I$22,'&lt;吸収式&gt;マスタ'!$Z$8:$AB$31,2,0)</f>
        <v>0</v>
      </c>
      <c r="AL46" s="122">
        <f>VLOOKUP(E46&amp;$I$22,'&lt;吸収式&gt;マスタ'!$Z$8:$AB$31,3,0)</f>
        <v>0.27300000000000002</v>
      </c>
      <c r="AP46" s="123">
        <f t="shared" si="2"/>
        <v>94.4</v>
      </c>
      <c r="AS46" s="69"/>
    </row>
    <row r="47" spans="1:45" s="51" customFormat="1" ht="15" customHeight="1" thickTop="1">
      <c r="A47" s="38"/>
      <c r="B47" s="225"/>
      <c r="C47" s="226"/>
      <c r="D47" s="227"/>
      <c r="E47" s="351" t="s">
        <v>58</v>
      </c>
      <c r="F47" s="352"/>
      <c r="G47" s="353" t="s">
        <v>90</v>
      </c>
      <c r="H47" s="354"/>
      <c r="I47" s="355"/>
      <c r="J47" s="212" t="s">
        <v>90</v>
      </c>
      <c r="K47" s="212"/>
      <c r="L47" s="212"/>
      <c r="M47" s="356" t="s">
        <v>90</v>
      </c>
      <c r="N47" s="357"/>
      <c r="O47" s="357"/>
      <c r="P47" s="358"/>
      <c r="Q47" s="359" t="s">
        <v>90</v>
      </c>
      <c r="R47" s="360"/>
      <c r="S47" s="361"/>
      <c r="T47" s="362">
        <f>SUM(T35:V46)</f>
        <v>3600</v>
      </c>
      <c r="U47" s="362"/>
      <c r="V47" s="363"/>
      <c r="W47" s="364">
        <f>SUM(W35:AA46)</f>
        <v>145784.59999999998</v>
      </c>
      <c r="X47" s="365"/>
      <c r="Y47" s="365"/>
      <c r="Z47" s="365"/>
      <c r="AA47" s="365"/>
      <c r="AB47" s="311"/>
      <c r="AC47" s="311"/>
      <c r="AD47" s="311"/>
      <c r="AE47" s="311"/>
      <c r="AF47" s="311"/>
      <c r="AG47" s="311"/>
      <c r="AH47" s="311"/>
      <c r="AI47" s="35"/>
      <c r="AJ47" s="35"/>
      <c r="AK47" s="67"/>
      <c r="AL47" s="67"/>
      <c r="AO47" s="86"/>
      <c r="AQ47" s="68"/>
    </row>
    <row r="48" spans="1:45" s="51" customFormat="1" ht="3" customHeight="1">
      <c r="A48" s="38"/>
      <c r="B48" s="132"/>
      <c r="C48" s="132"/>
      <c r="D48" s="132"/>
      <c r="E48" s="58"/>
      <c r="F48" s="58"/>
      <c r="G48" s="58"/>
      <c r="H48" s="58"/>
      <c r="I48" s="58"/>
      <c r="J48" s="133"/>
      <c r="K48" s="133"/>
      <c r="L48" s="133"/>
      <c r="M48" s="134"/>
      <c r="N48" s="134"/>
      <c r="O48" s="134"/>
      <c r="P48" s="134"/>
      <c r="Q48" s="135"/>
      <c r="R48" s="135"/>
      <c r="S48" s="135"/>
      <c r="T48" s="133"/>
      <c r="U48" s="133"/>
      <c r="V48" s="133"/>
      <c r="W48" s="136"/>
      <c r="X48" s="136"/>
      <c r="Y48" s="136"/>
      <c r="Z48" s="136"/>
      <c r="AA48" s="136"/>
      <c r="AB48" s="129"/>
      <c r="AC48" s="129"/>
      <c r="AD48" s="129"/>
      <c r="AE48" s="129"/>
      <c r="AF48" s="129"/>
      <c r="AG48" s="129"/>
      <c r="AH48" s="129"/>
      <c r="AI48" s="86"/>
      <c r="AJ48" s="86"/>
      <c r="AK48" s="67"/>
      <c r="AL48" s="67"/>
      <c r="AO48" s="86"/>
      <c r="AQ48" s="68"/>
    </row>
    <row r="49" spans="1:41" s="51" customFormat="1" ht="15" customHeight="1">
      <c r="A49" s="35" t="s">
        <v>224</v>
      </c>
      <c r="B49" s="37"/>
      <c r="C49" s="37"/>
      <c r="D49" s="37"/>
      <c r="E49" s="130"/>
      <c r="F49" s="130"/>
      <c r="G49" s="94"/>
      <c r="H49" s="94"/>
      <c r="I49" s="94"/>
      <c r="J49" s="130"/>
      <c r="K49" s="94"/>
      <c r="L49" s="94"/>
      <c r="M49" s="94"/>
      <c r="N49" s="94"/>
      <c r="O49" s="94"/>
      <c r="P49" s="94"/>
      <c r="Q49" s="94"/>
      <c r="R49" s="94"/>
      <c r="S49" s="94"/>
      <c r="T49" s="131"/>
      <c r="U49" s="131"/>
      <c r="V49" s="131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89"/>
      <c r="AI49" s="35"/>
      <c r="AJ49" s="35"/>
      <c r="AK49" s="86"/>
      <c r="AL49" s="86"/>
      <c r="AO49" s="86"/>
    </row>
    <row r="50" spans="1:41" s="51" customFormat="1" ht="15" customHeight="1">
      <c r="A50" s="35"/>
      <c r="B50" s="222" t="s">
        <v>92</v>
      </c>
      <c r="C50" s="223"/>
      <c r="D50" s="224"/>
      <c r="E50" s="170" t="s">
        <v>56</v>
      </c>
      <c r="F50" s="172"/>
      <c r="G50" s="170" t="s">
        <v>14</v>
      </c>
      <c r="H50" s="171"/>
      <c r="I50" s="172"/>
      <c r="J50" s="170" t="s">
        <v>95</v>
      </c>
      <c r="K50" s="171"/>
      <c r="L50" s="171"/>
      <c r="M50" s="171"/>
      <c r="N50" s="171"/>
      <c r="O50" s="171"/>
      <c r="P50" s="171"/>
      <c r="Q50" s="171"/>
      <c r="R50" s="171"/>
      <c r="S50" s="172"/>
      <c r="T50" s="350" t="s">
        <v>110</v>
      </c>
      <c r="U50" s="238"/>
      <c r="V50" s="239"/>
      <c r="W50" s="170" t="s">
        <v>138</v>
      </c>
      <c r="X50" s="171"/>
      <c r="Y50" s="171"/>
      <c r="Z50" s="171"/>
      <c r="AA50" s="171"/>
      <c r="AB50" s="243"/>
      <c r="AC50" s="244"/>
      <c r="AD50" s="244"/>
      <c r="AE50" s="244"/>
      <c r="AF50" s="244"/>
      <c r="AG50" s="244"/>
      <c r="AH50" s="89"/>
      <c r="AI50" s="35"/>
      <c r="AJ50" s="35"/>
      <c r="AK50" s="86"/>
      <c r="AL50" s="86"/>
      <c r="AM50" s="86"/>
      <c r="AN50" s="86"/>
      <c r="AO50" s="86"/>
    </row>
    <row r="51" spans="1:41" s="51" customFormat="1" ht="15" customHeight="1" thickBot="1">
      <c r="A51" s="35"/>
      <c r="B51" s="225"/>
      <c r="C51" s="226"/>
      <c r="D51" s="227"/>
      <c r="E51" s="154"/>
      <c r="F51" s="156"/>
      <c r="G51" s="154"/>
      <c r="H51" s="155"/>
      <c r="I51" s="156"/>
      <c r="J51" s="154" t="s">
        <v>112</v>
      </c>
      <c r="K51" s="155"/>
      <c r="L51" s="155"/>
      <c r="M51" s="155"/>
      <c r="N51" s="155"/>
      <c r="O51" s="155"/>
      <c r="P51" s="155"/>
      <c r="Q51" s="155"/>
      <c r="R51" s="155"/>
      <c r="S51" s="156"/>
      <c r="T51" s="245" t="s">
        <v>132</v>
      </c>
      <c r="U51" s="246"/>
      <c r="V51" s="247"/>
      <c r="W51" s="296" t="s">
        <v>136</v>
      </c>
      <c r="X51" s="297"/>
      <c r="Y51" s="297"/>
      <c r="Z51" s="297"/>
      <c r="AA51" s="297"/>
      <c r="AB51" s="243"/>
      <c r="AC51" s="244"/>
      <c r="AD51" s="244"/>
      <c r="AE51" s="244"/>
      <c r="AF51" s="244"/>
      <c r="AG51" s="244"/>
      <c r="AH51" s="89"/>
      <c r="AI51" s="35"/>
      <c r="AJ51" s="35"/>
      <c r="AK51" s="86"/>
      <c r="AL51" s="86"/>
      <c r="AM51" s="86"/>
      <c r="AN51" s="86"/>
      <c r="AO51" s="86"/>
    </row>
    <row r="52" spans="1:41" s="51" customFormat="1" ht="15" customHeight="1">
      <c r="A52" s="35"/>
      <c r="B52" s="225"/>
      <c r="C52" s="226"/>
      <c r="D52" s="227"/>
      <c r="E52" s="194">
        <v>4</v>
      </c>
      <c r="F52" s="195"/>
      <c r="G52" s="326" t="str">
        <f>G35</f>
        <v>暖房</v>
      </c>
      <c r="H52" s="327"/>
      <c r="I52" s="327"/>
      <c r="J52" s="328">
        <f t="shared" ref="J52:J63" si="3">IF(G52="冷房",$AN$28,0)</f>
        <v>0</v>
      </c>
      <c r="K52" s="329"/>
      <c r="L52" s="329"/>
      <c r="M52" s="329"/>
      <c r="N52" s="329"/>
      <c r="O52" s="329"/>
      <c r="P52" s="329"/>
      <c r="Q52" s="329"/>
      <c r="R52" s="329"/>
      <c r="S52" s="330"/>
      <c r="T52" s="321">
        <f t="shared" ref="T52:T63" si="4">T35</f>
        <v>300</v>
      </c>
      <c r="U52" s="322"/>
      <c r="V52" s="322"/>
      <c r="W52" s="347">
        <f t="shared" ref="W52:W63" si="5">ROUNDDOWN(J52*T52*$I$23,1)</f>
        <v>0</v>
      </c>
      <c r="X52" s="348"/>
      <c r="Y52" s="348"/>
      <c r="Z52" s="348"/>
      <c r="AA52" s="349"/>
      <c r="AB52" s="192"/>
      <c r="AC52" s="192"/>
      <c r="AD52" s="192"/>
      <c r="AE52" s="192"/>
      <c r="AF52" s="192"/>
      <c r="AG52" s="192"/>
      <c r="AH52" s="105"/>
      <c r="AI52" s="35"/>
      <c r="AJ52" s="35"/>
      <c r="AK52" s="86"/>
      <c r="AL52" s="86"/>
      <c r="AM52" s="86"/>
      <c r="AN52" s="86"/>
      <c r="AO52" s="86"/>
    </row>
    <row r="53" spans="1:41" s="51" customFormat="1" ht="15" customHeight="1">
      <c r="A53" s="35"/>
      <c r="B53" s="225"/>
      <c r="C53" s="226"/>
      <c r="D53" s="227"/>
      <c r="E53" s="194">
        <v>5</v>
      </c>
      <c r="F53" s="195"/>
      <c r="G53" s="326" t="str">
        <f t="shared" ref="G53:G63" si="6">G36</f>
        <v>冷房</v>
      </c>
      <c r="H53" s="327"/>
      <c r="I53" s="327"/>
      <c r="J53" s="328">
        <f t="shared" si="3"/>
        <v>21.3</v>
      </c>
      <c r="K53" s="329"/>
      <c r="L53" s="329"/>
      <c r="M53" s="329"/>
      <c r="N53" s="329"/>
      <c r="O53" s="329"/>
      <c r="P53" s="329"/>
      <c r="Q53" s="329"/>
      <c r="R53" s="329"/>
      <c r="S53" s="330"/>
      <c r="T53" s="321">
        <f t="shared" si="4"/>
        <v>300</v>
      </c>
      <c r="U53" s="322"/>
      <c r="V53" s="322"/>
      <c r="W53" s="323">
        <f t="shared" si="5"/>
        <v>6390</v>
      </c>
      <c r="X53" s="324"/>
      <c r="Y53" s="324"/>
      <c r="Z53" s="324"/>
      <c r="AA53" s="325"/>
      <c r="AB53" s="192"/>
      <c r="AC53" s="192"/>
      <c r="AD53" s="192"/>
      <c r="AE53" s="192"/>
      <c r="AF53" s="192"/>
      <c r="AG53" s="192"/>
      <c r="AH53" s="105"/>
      <c r="AI53" s="35"/>
      <c r="AJ53" s="35"/>
      <c r="AK53" s="86"/>
      <c r="AL53" s="86"/>
      <c r="AM53" s="86"/>
      <c r="AN53" s="86"/>
      <c r="AO53" s="86"/>
    </row>
    <row r="54" spans="1:41" ht="15" customHeight="1">
      <c r="B54" s="225"/>
      <c r="C54" s="226"/>
      <c r="D54" s="227"/>
      <c r="E54" s="194">
        <v>6</v>
      </c>
      <c r="F54" s="195"/>
      <c r="G54" s="326" t="str">
        <f t="shared" si="6"/>
        <v>冷房</v>
      </c>
      <c r="H54" s="327"/>
      <c r="I54" s="327"/>
      <c r="J54" s="328">
        <f t="shared" si="3"/>
        <v>21.3</v>
      </c>
      <c r="K54" s="329"/>
      <c r="L54" s="329"/>
      <c r="M54" s="329"/>
      <c r="N54" s="329"/>
      <c r="O54" s="329"/>
      <c r="P54" s="329"/>
      <c r="Q54" s="329"/>
      <c r="R54" s="329"/>
      <c r="S54" s="330"/>
      <c r="T54" s="321">
        <f t="shared" si="4"/>
        <v>300</v>
      </c>
      <c r="U54" s="322"/>
      <c r="V54" s="322"/>
      <c r="W54" s="323">
        <f t="shared" si="5"/>
        <v>6390</v>
      </c>
      <c r="X54" s="324"/>
      <c r="Y54" s="324"/>
      <c r="Z54" s="324"/>
      <c r="AA54" s="325"/>
      <c r="AB54" s="192"/>
      <c r="AC54" s="192"/>
      <c r="AD54" s="192"/>
      <c r="AE54" s="192"/>
      <c r="AF54" s="192"/>
      <c r="AG54" s="192"/>
      <c r="AH54" s="105"/>
    </row>
    <row r="55" spans="1:41" ht="15" customHeight="1">
      <c r="B55" s="225"/>
      <c r="C55" s="226"/>
      <c r="D55" s="227"/>
      <c r="E55" s="194">
        <v>7</v>
      </c>
      <c r="F55" s="195"/>
      <c r="G55" s="326" t="str">
        <f t="shared" si="6"/>
        <v>冷房</v>
      </c>
      <c r="H55" s="327"/>
      <c r="I55" s="327"/>
      <c r="J55" s="328">
        <f t="shared" si="3"/>
        <v>21.3</v>
      </c>
      <c r="K55" s="329"/>
      <c r="L55" s="329"/>
      <c r="M55" s="329"/>
      <c r="N55" s="329"/>
      <c r="O55" s="329"/>
      <c r="P55" s="329"/>
      <c r="Q55" s="329"/>
      <c r="R55" s="329"/>
      <c r="S55" s="330"/>
      <c r="T55" s="321">
        <f t="shared" si="4"/>
        <v>300</v>
      </c>
      <c r="U55" s="322"/>
      <c r="V55" s="322"/>
      <c r="W55" s="323">
        <f t="shared" si="5"/>
        <v>6390</v>
      </c>
      <c r="X55" s="324"/>
      <c r="Y55" s="324"/>
      <c r="Z55" s="324"/>
      <c r="AA55" s="325"/>
      <c r="AB55" s="192"/>
      <c r="AC55" s="192"/>
      <c r="AD55" s="192"/>
      <c r="AE55" s="192"/>
      <c r="AF55" s="192"/>
      <c r="AG55" s="192"/>
      <c r="AH55" s="105"/>
    </row>
    <row r="56" spans="1:41" s="51" customFormat="1" ht="15" customHeight="1">
      <c r="A56" s="35"/>
      <c r="B56" s="225"/>
      <c r="C56" s="226"/>
      <c r="D56" s="227"/>
      <c r="E56" s="194">
        <v>8</v>
      </c>
      <c r="F56" s="195"/>
      <c r="G56" s="326" t="str">
        <f t="shared" si="6"/>
        <v>冷房</v>
      </c>
      <c r="H56" s="327"/>
      <c r="I56" s="327"/>
      <c r="J56" s="328">
        <f t="shared" si="3"/>
        <v>21.3</v>
      </c>
      <c r="K56" s="329"/>
      <c r="L56" s="329"/>
      <c r="M56" s="329"/>
      <c r="N56" s="329"/>
      <c r="O56" s="329"/>
      <c r="P56" s="329"/>
      <c r="Q56" s="329"/>
      <c r="R56" s="329"/>
      <c r="S56" s="330"/>
      <c r="T56" s="321">
        <f t="shared" si="4"/>
        <v>300</v>
      </c>
      <c r="U56" s="322"/>
      <c r="V56" s="322"/>
      <c r="W56" s="323">
        <f t="shared" si="5"/>
        <v>6390</v>
      </c>
      <c r="X56" s="324"/>
      <c r="Y56" s="324"/>
      <c r="Z56" s="324"/>
      <c r="AA56" s="325"/>
      <c r="AB56" s="192"/>
      <c r="AC56" s="192"/>
      <c r="AD56" s="192"/>
      <c r="AE56" s="192"/>
      <c r="AF56" s="192"/>
      <c r="AG56" s="192"/>
      <c r="AH56" s="105"/>
      <c r="AI56" s="35"/>
      <c r="AJ56" s="35"/>
      <c r="AK56" s="86"/>
      <c r="AL56" s="86"/>
      <c r="AM56" s="86"/>
      <c r="AN56" s="86"/>
      <c r="AO56" s="86"/>
    </row>
    <row r="57" spans="1:41" s="51" customFormat="1" ht="15" customHeight="1">
      <c r="A57" s="35"/>
      <c r="B57" s="225"/>
      <c r="C57" s="226"/>
      <c r="D57" s="227"/>
      <c r="E57" s="194">
        <v>9</v>
      </c>
      <c r="F57" s="195"/>
      <c r="G57" s="326" t="str">
        <f t="shared" si="6"/>
        <v>冷房</v>
      </c>
      <c r="H57" s="327"/>
      <c r="I57" s="327"/>
      <c r="J57" s="328">
        <f t="shared" si="3"/>
        <v>21.3</v>
      </c>
      <c r="K57" s="329"/>
      <c r="L57" s="329"/>
      <c r="M57" s="329"/>
      <c r="N57" s="329"/>
      <c r="O57" s="329"/>
      <c r="P57" s="329"/>
      <c r="Q57" s="329"/>
      <c r="R57" s="329"/>
      <c r="S57" s="330"/>
      <c r="T57" s="321">
        <f t="shared" si="4"/>
        <v>300</v>
      </c>
      <c r="U57" s="322"/>
      <c r="V57" s="322"/>
      <c r="W57" s="323">
        <f t="shared" si="5"/>
        <v>6390</v>
      </c>
      <c r="X57" s="324"/>
      <c r="Y57" s="324"/>
      <c r="Z57" s="324"/>
      <c r="AA57" s="325"/>
      <c r="AB57" s="192"/>
      <c r="AC57" s="192"/>
      <c r="AD57" s="192"/>
      <c r="AE57" s="192"/>
      <c r="AF57" s="192"/>
      <c r="AG57" s="192"/>
      <c r="AH57" s="105"/>
      <c r="AI57" s="35"/>
      <c r="AJ57" s="35"/>
      <c r="AK57" s="86"/>
      <c r="AL57" s="86"/>
      <c r="AM57" s="86"/>
      <c r="AN57" s="86"/>
      <c r="AO57" s="86"/>
    </row>
    <row r="58" spans="1:41" s="51" customFormat="1" ht="15" customHeight="1">
      <c r="A58" s="35"/>
      <c r="B58" s="225"/>
      <c r="C58" s="226"/>
      <c r="D58" s="227"/>
      <c r="E58" s="194">
        <v>10</v>
      </c>
      <c r="F58" s="195"/>
      <c r="G58" s="326" t="str">
        <f t="shared" si="6"/>
        <v>冷房</v>
      </c>
      <c r="H58" s="327"/>
      <c r="I58" s="327"/>
      <c r="J58" s="328">
        <f t="shared" si="3"/>
        <v>21.3</v>
      </c>
      <c r="K58" s="329"/>
      <c r="L58" s="329"/>
      <c r="M58" s="329"/>
      <c r="N58" s="329"/>
      <c r="O58" s="329"/>
      <c r="P58" s="329"/>
      <c r="Q58" s="329"/>
      <c r="R58" s="329"/>
      <c r="S58" s="330"/>
      <c r="T58" s="321">
        <f t="shared" si="4"/>
        <v>300</v>
      </c>
      <c r="U58" s="322"/>
      <c r="V58" s="322"/>
      <c r="W58" s="323">
        <f t="shared" si="5"/>
        <v>6390</v>
      </c>
      <c r="X58" s="324"/>
      <c r="Y58" s="324"/>
      <c r="Z58" s="324"/>
      <c r="AA58" s="325"/>
      <c r="AB58" s="192"/>
      <c r="AC58" s="192"/>
      <c r="AD58" s="192"/>
      <c r="AE58" s="192"/>
      <c r="AF58" s="192"/>
      <c r="AG58" s="192"/>
      <c r="AH58" s="105"/>
      <c r="AI58" s="35"/>
      <c r="AJ58" s="35"/>
      <c r="AK58" s="86"/>
      <c r="AL58" s="86"/>
      <c r="AM58" s="86"/>
      <c r="AN58" s="86"/>
      <c r="AO58" s="86"/>
    </row>
    <row r="59" spans="1:41" s="51" customFormat="1" ht="15" customHeight="1">
      <c r="A59" s="35"/>
      <c r="B59" s="225"/>
      <c r="C59" s="226"/>
      <c r="D59" s="227"/>
      <c r="E59" s="194">
        <v>11</v>
      </c>
      <c r="F59" s="195"/>
      <c r="G59" s="326" t="str">
        <f t="shared" si="6"/>
        <v>暖房</v>
      </c>
      <c r="H59" s="327"/>
      <c r="I59" s="327"/>
      <c r="J59" s="328">
        <f t="shared" si="3"/>
        <v>0</v>
      </c>
      <c r="K59" s="329"/>
      <c r="L59" s="329"/>
      <c r="M59" s="329"/>
      <c r="N59" s="329"/>
      <c r="O59" s="329"/>
      <c r="P59" s="329"/>
      <c r="Q59" s="329"/>
      <c r="R59" s="329"/>
      <c r="S59" s="330"/>
      <c r="T59" s="321">
        <f t="shared" si="4"/>
        <v>300</v>
      </c>
      <c r="U59" s="322"/>
      <c r="V59" s="322"/>
      <c r="W59" s="323">
        <f t="shared" si="5"/>
        <v>0</v>
      </c>
      <c r="X59" s="324"/>
      <c r="Y59" s="324"/>
      <c r="Z59" s="324"/>
      <c r="AA59" s="325"/>
      <c r="AB59" s="192"/>
      <c r="AC59" s="192"/>
      <c r="AD59" s="192"/>
      <c r="AE59" s="192"/>
      <c r="AF59" s="192"/>
      <c r="AG59" s="192"/>
      <c r="AH59" s="105"/>
      <c r="AI59" s="35"/>
      <c r="AJ59" s="35"/>
      <c r="AK59" s="86"/>
      <c r="AL59" s="86"/>
      <c r="AM59" s="86"/>
      <c r="AN59" s="86"/>
      <c r="AO59" s="86"/>
    </row>
    <row r="60" spans="1:41" s="51" customFormat="1" ht="15" customHeight="1">
      <c r="A60" s="35"/>
      <c r="B60" s="225"/>
      <c r="C60" s="226"/>
      <c r="D60" s="227"/>
      <c r="E60" s="194">
        <v>12</v>
      </c>
      <c r="F60" s="195"/>
      <c r="G60" s="326" t="str">
        <f t="shared" si="6"/>
        <v>暖房</v>
      </c>
      <c r="H60" s="327"/>
      <c r="I60" s="327"/>
      <c r="J60" s="328">
        <f t="shared" si="3"/>
        <v>0</v>
      </c>
      <c r="K60" s="329"/>
      <c r="L60" s="329"/>
      <c r="M60" s="329"/>
      <c r="N60" s="329"/>
      <c r="O60" s="329"/>
      <c r="P60" s="329"/>
      <c r="Q60" s="329"/>
      <c r="R60" s="329"/>
      <c r="S60" s="330"/>
      <c r="T60" s="321">
        <f t="shared" si="4"/>
        <v>300</v>
      </c>
      <c r="U60" s="322"/>
      <c r="V60" s="322"/>
      <c r="W60" s="323">
        <f t="shared" si="5"/>
        <v>0</v>
      </c>
      <c r="X60" s="324"/>
      <c r="Y60" s="324"/>
      <c r="Z60" s="324"/>
      <c r="AA60" s="325"/>
      <c r="AB60" s="192"/>
      <c r="AC60" s="192"/>
      <c r="AD60" s="192"/>
      <c r="AE60" s="192"/>
      <c r="AF60" s="192"/>
      <c r="AG60" s="192"/>
      <c r="AH60" s="105"/>
      <c r="AI60" s="35"/>
      <c r="AJ60" s="35"/>
      <c r="AK60" s="86"/>
      <c r="AL60" s="86"/>
      <c r="AM60" s="86"/>
      <c r="AN60" s="86"/>
      <c r="AO60" s="86"/>
    </row>
    <row r="61" spans="1:41" s="51" customFormat="1" ht="15" customHeight="1">
      <c r="A61" s="35"/>
      <c r="B61" s="225"/>
      <c r="C61" s="226"/>
      <c r="D61" s="227"/>
      <c r="E61" s="194">
        <v>1</v>
      </c>
      <c r="F61" s="195"/>
      <c r="G61" s="326" t="str">
        <f t="shared" si="6"/>
        <v>暖房</v>
      </c>
      <c r="H61" s="327"/>
      <c r="I61" s="327"/>
      <c r="J61" s="328">
        <f t="shared" si="3"/>
        <v>0</v>
      </c>
      <c r="K61" s="329"/>
      <c r="L61" s="329"/>
      <c r="M61" s="329"/>
      <c r="N61" s="329"/>
      <c r="O61" s="329"/>
      <c r="P61" s="329"/>
      <c r="Q61" s="329"/>
      <c r="R61" s="329"/>
      <c r="S61" s="330"/>
      <c r="T61" s="321">
        <f t="shared" si="4"/>
        <v>300</v>
      </c>
      <c r="U61" s="322"/>
      <c r="V61" s="322"/>
      <c r="W61" s="323">
        <f t="shared" si="5"/>
        <v>0</v>
      </c>
      <c r="X61" s="324"/>
      <c r="Y61" s="324"/>
      <c r="Z61" s="324"/>
      <c r="AA61" s="325"/>
      <c r="AB61" s="192"/>
      <c r="AC61" s="192"/>
      <c r="AD61" s="192"/>
      <c r="AE61" s="192"/>
      <c r="AF61" s="192"/>
      <c r="AG61" s="192"/>
      <c r="AH61" s="105"/>
      <c r="AI61" s="35"/>
      <c r="AJ61" s="35"/>
      <c r="AK61" s="86"/>
      <c r="AL61" s="86"/>
      <c r="AM61" s="86"/>
      <c r="AN61" s="86"/>
      <c r="AO61" s="86"/>
    </row>
    <row r="62" spans="1:41" s="51" customFormat="1" ht="15" customHeight="1">
      <c r="A62" s="35"/>
      <c r="B62" s="225"/>
      <c r="C62" s="226"/>
      <c r="D62" s="227"/>
      <c r="E62" s="194">
        <v>2</v>
      </c>
      <c r="F62" s="195"/>
      <c r="G62" s="326" t="str">
        <f t="shared" si="6"/>
        <v>暖房</v>
      </c>
      <c r="H62" s="327"/>
      <c r="I62" s="327"/>
      <c r="J62" s="328">
        <f t="shared" si="3"/>
        <v>0</v>
      </c>
      <c r="K62" s="329"/>
      <c r="L62" s="329"/>
      <c r="M62" s="329"/>
      <c r="N62" s="329"/>
      <c r="O62" s="329"/>
      <c r="P62" s="329"/>
      <c r="Q62" s="329"/>
      <c r="R62" s="329"/>
      <c r="S62" s="330"/>
      <c r="T62" s="321">
        <f t="shared" si="4"/>
        <v>300</v>
      </c>
      <c r="U62" s="322"/>
      <c r="V62" s="322"/>
      <c r="W62" s="323">
        <f t="shared" si="5"/>
        <v>0</v>
      </c>
      <c r="X62" s="324"/>
      <c r="Y62" s="324"/>
      <c r="Z62" s="324"/>
      <c r="AA62" s="325"/>
      <c r="AB62" s="192"/>
      <c r="AC62" s="192"/>
      <c r="AD62" s="192"/>
      <c r="AE62" s="192"/>
      <c r="AF62" s="192"/>
      <c r="AG62" s="192"/>
      <c r="AH62" s="105"/>
      <c r="AI62" s="35"/>
      <c r="AJ62" s="35"/>
      <c r="AK62" s="86"/>
      <c r="AL62" s="86"/>
      <c r="AM62" s="86"/>
      <c r="AN62" s="86"/>
      <c r="AO62" s="86"/>
    </row>
    <row r="63" spans="1:41" s="51" customFormat="1" ht="15" customHeight="1" thickBot="1">
      <c r="A63" s="35"/>
      <c r="B63" s="225"/>
      <c r="C63" s="226"/>
      <c r="D63" s="227"/>
      <c r="E63" s="194">
        <v>3</v>
      </c>
      <c r="F63" s="195"/>
      <c r="G63" s="326" t="str">
        <f t="shared" si="6"/>
        <v>暖房</v>
      </c>
      <c r="H63" s="327"/>
      <c r="I63" s="327"/>
      <c r="J63" s="328">
        <f t="shared" si="3"/>
        <v>0</v>
      </c>
      <c r="K63" s="329"/>
      <c r="L63" s="329"/>
      <c r="M63" s="329"/>
      <c r="N63" s="329"/>
      <c r="O63" s="329"/>
      <c r="P63" s="329"/>
      <c r="Q63" s="329"/>
      <c r="R63" s="329"/>
      <c r="S63" s="330"/>
      <c r="T63" s="342">
        <f t="shared" si="4"/>
        <v>300</v>
      </c>
      <c r="U63" s="343"/>
      <c r="V63" s="343"/>
      <c r="W63" s="344">
        <f t="shared" si="5"/>
        <v>0</v>
      </c>
      <c r="X63" s="345"/>
      <c r="Y63" s="345"/>
      <c r="Z63" s="345"/>
      <c r="AA63" s="346"/>
      <c r="AB63" s="192"/>
      <c r="AC63" s="192"/>
      <c r="AD63" s="192"/>
      <c r="AE63" s="192"/>
      <c r="AF63" s="192"/>
      <c r="AG63" s="192"/>
      <c r="AH63" s="105"/>
      <c r="AI63" s="35"/>
      <c r="AJ63" s="35"/>
      <c r="AK63" s="86"/>
      <c r="AL63" s="86"/>
      <c r="AM63" s="86"/>
      <c r="AN63" s="86"/>
      <c r="AO63" s="86"/>
    </row>
    <row r="64" spans="1:41" s="51" customFormat="1" ht="15" customHeight="1" thickTop="1">
      <c r="A64" s="35"/>
      <c r="B64" s="228"/>
      <c r="C64" s="229"/>
      <c r="D64" s="230"/>
      <c r="E64" s="178" t="s">
        <v>58</v>
      </c>
      <c r="F64" s="179"/>
      <c r="G64" s="180" t="s">
        <v>90</v>
      </c>
      <c r="H64" s="181"/>
      <c r="I64" s="331"/>
      <c r="J64" s="332" t="s">
        <v>90</v>
      </c>
      <c r="K64" s="333"/>
      <c r="L64" s="333"/>
      <c r="M64" s="333"/>
      <c r="N64" s="333"/>
      <c r="O64" s="333"/>
      <c r="P64" s="333"/>
      <c r="Q64" s="333"/>
      <c r="R64" s="333"/>
      <c r="S64" s="334"/>
      <c r="T64" s="337">
        <f>SUM(T52:V63)</f>
        <v>3600</v>
      </c>
      <c r="U64" s="338"/>
      <c r="V64" s="339"/>
      <c r="W64" s="340">
        <f>SUM(W52:AA63)</f>
        <v>38340</v>
      </c>
      <c r="X64" s="341"/>
      <c r="Y64" s="341"/>
      <c r="Z64" s="341"/>
      <c r="AA64" s="341"/>
      <c r="AB64" s="191"/>
      <c r="AC64" s="192"/>
      <c r="AD64" s="192"/>
      <c r="AE64" s="192"/>
      <c r="AF64" s="192"/>
      <c r="AG64" s="192"/>
      <c r="AH64" s="106"/>
      <c r="AI64" s="35"/>
      <c r="AJ64" s="35"/>
      <c r="AK64" s="86"/>
      <c r="AL64" s="86"/>
      <c r="AM64" s="86"/>
      <c r="AN64" s="86"/>
      <c r="AO64" s="86"/>
    </row>
    <row r="65" spans="1:41" s="51" customFormat="1" ht="15" customHeight="1">
      <c r="A65" s="35"/>
      <c r="B65" s="193" t="str">
        <f>既存設備!B65</f>
        <v>指定負荷率使用</v>
      </c>
      <c r="C65" s="193"/>
      <c r="D65" s="193"/>
      <c r="E65" s="193"/>
      <c r="F65" s="193"/>
      <c r="G65" s="193"/>
      <c r="H65" s="193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86"/>
      <c r="AG65" s="86"/>
      <c r="AH65" s="40"/>
      <c r="AI65" s="35"/>
      <c r="AJ65" s="35"/>
      <c r="AK65" s="86"/>
      <c r="AL65" s="86"/>
      <c r="AM65" s="86"/>
      <c r="AN65" s="86"/>
      <c r="AO65" s="86"/>
    </row>
    <row r="66" spans="1:41" s="51" customFormat="1" ht="13.5" customHeight="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86"/>
      <c r="AG66" s="86"/>
      <c r="AH66" s="35"/>
      <c r="AI66" s="35"/>
      <c r="AJ66" s="35"/>
      <c r="AK66" s="86"/>
      <c r="AL66" s="86"/>
      <c r="AM66" s="86"/>
      <c r="AN66" s="86"/>
      <c r="AO66" s="86"/>
    </row>
    <row r="67" spans="1:41" s="51" customFormat="1" ht="12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86"/>
      <c r="AG67" s="86"/>
      <c r="AH67" s="35"/>
      <c r="AI67" s="35"/>
      <c r="AJ67" s="35"/>
      <c r="AK67" s="86"/>
      <c r="AL67" s="86"/>
      <c r="AM67" s="86"/>
      <c r="AN67" s="86"/>
      <c r="AO67" s="86"/>
    </row>
    <row r="70" spans="1:41" s="51" customFormat="1" ht="12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86"/>
      <c r="AG70" s="86"/>
      <c r="AH70" s="35"/>
      <c r="AI70" s="35"/>
      <c r="AJ70" s="35"/>
      <c r="AK70" s="86"/>
      <c r="AL70" s="86"/>
      <c r="AM70" s="86"/>
      <c r="AN70" s="86"/>
      <c r="AO70" s="86"/>
    </row>
    <row r="71" spans="1:41" s="51" customFormat="1" ht="12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86"/>
      <c r="AG71" s="86"/>
      <c r="AH71" s="35"/>
      <c r="AI71" s="35"/>
      <c r="AJ71" s="35"/>
      <c r="AK71" s="86"/>
      <c r="AL71" s="86"/>
      <c r="AM71" s="86"/>
      <c r="AN71" s="86"/>
      <c r="AO71" s="86"/>
    </row>
    <row r="72" spans="1:41" s="51" customFormat="1" ht="12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86"/>
      <c r="AG72" s="86"/>
      <c r="AH72" s="35"/>
      <c r="AI72" s="35"/>
      <c r="AJ72" s="35"/>
      <c r="AK72" s="86"/>
      <c r="AL72" s="86"/>
      <c r="AM72" s="86"/>
      <c r="AN72" s="86"/>
      <c r="AO72" s="86"/>
    </row>
    <row r="73" spans="1:41" s="51" customFormat="1" ht="12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86"/>
      <c r="AG73" s="86"/>
      <c r="AH73" s="35"/>
      <c r="AI73" s="35"/>
      <c r="AJ73" s="35"/>
      <c r="AK73" s="86"/>
      <c r="AL73" s="86"/>
      <c r="AM73" s="86"/>
      <c r="AN73" s="86"/>
      <c r="AO73" s="86"/>
    </row>
    <row r="74" spans="1:41" s="51" customFormat="1" ht="12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86"/>
      <c r="AG74" s="86"/>
      <c r="AH74" s="35"/>
      <c r="AI74" s="35"/>
      <c r="AJ74" s="35"/>
      <c r="AK74" s="86"/>
      <c r="AL74" s="86"/>
      <c r="AM74" s="86"/>
      <c r="AN74" s="86"/>
      <c r="AO74" s="86"/>
    </row>
    <row r="75" spans="1:41" s="51" customFormat="1" ht="12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86"/>
      <c r="AG75" s="86"/>
      <c r="AH75" s="35"/>
      <c r="AI75" s="35"/>
      <c r="AJ75" s="35"/>
      <c r="AK75" s="86"/>
      <c r="AL75" s="86"/>
      <c r="AM75" s="86"/>
      <c r="AN75" s="86"/>
      <c r="AO75" s="86"/>
    </row>
    <row r="76" spans="1:41" s="51" customFormat="1" ht="12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86"/>
      <c r="AG76" s="86"/>
      <c r="AH76" s="35"/>
      <c r="AI76" s="35"/>
      <c r="AJ76" s="35"/>
      <c r="AK76" s="86"/>
      <c r="AL76" s="86"/>
      <c r="AM76" s="86"/>
      <c r="AN76" s="86"/>
      <c r="AO76" s="86"/>
    </row>
    <row r="77" spans="1:41" s="51" customFormat="1" ht="12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86"/>
      <c r="AG77" s="86"/>
      <c r="AH77" s="35"/>
      <c r="AI77" s="35"/>
      <c r="AJ77" s="35"/>
      <c r="AK77" s="86"/>
      <c r="AL77" s="86"/>
      <c r="AM77" s="86"/>
      <c r="AN77" s="86"/>
      <c r="AO77" s="86"/>
    </row>
    <row r="78" spans="1:41" s="51" customFormat="1" ht="12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86"/>
      <c r="AG78" s="86"/>
      <c r="AH78" s="35"/>
      <c r="AI78" s="35"/>
      <c r="AJ78" s="35"/>
      <c r="AK78" s="86"/>
      <c r="AL78" s="86"/>
      <c r="AM78" s="86"/>
      <c r="AN78" s="86"/>
      <c r="AO78" s="86"/>
    </row>
    <row r="79" spans="1:41" s="51" customFormat="1" ht="12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86"/>
      <c r="AG79" s="86"/>
      <c r="AH79" s="35"/>
      <c r="AI79" s="35"/>
      <c r="AJ79" s="35"/>
      <c r="AK79" s="86"/>
      <c r="AL79" s="86"/>
      <c r="AM79" s="86"/>
      <c r="AN79" s="86"/>
      <c r="AO79" s="86"/>
    </row>
    <row r="80" spans="1:41" s="51" customFormat="1" ht="12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86"/>
      <c r="AG80" s="86"/>
      <c r="AH80" s="35"/>
      <c r="AI80" s="35"/>
      <c r="AJ80" s="35"/>
      <c r="AK80" s="86"/>
      <c r="AL80" s="86"/>
      <c r="AM80" s="86"/>
      <c r="AN80" s="86"/>
      <c r="AO80" s="86"/>
    </row>
    <row r="81" spans="1:41" s="51" customFormat="1" ht="12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86"/>
      <c r="AG81" s="86"/>
      <c r="AH81" s="35"/>
      <c r="AI81" s="35"/>
      <c r="AJ81" s="35"/>
      <c r="AK81" s="86"/>
      <c r="AL81" s="86"/>
      <c r="AM81" s="86"/>
      <c r="AN81" s="86"/>
      <c r="AO81" s="86"/>
    </row>
    <row r="82" spans="1:41" s="51" customFormat="1" ht="12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86"/>
      <c r="AG82" s="86"/>
      <c r="AH82" s="35"/>
      <c r="AI82" s="35"/>
      <c r="AJ82" s="35"/>
      <c r="AK82" s="86"/>
      <c r="AL82" s="86"/>
      <c r="AM82" s="86"/>
      <c r="AN82" s="86"/>
      <c r="AO82" s="86"/>
    </row>
    <row r="97" spans="32:43" s="35" customFormat="1" ht="13.5" customHeight="1">
      <c r="AF97" s="86"/>
      <c r="AG97" s="86"/>
      <c r="AK97" s="86"/>
      <c r="AL97" s="86"/>
      <c r="AM97" s="86"/>
      <c r="AN97" s="86"/>
      <c r="AO97" s="86"/>
      <c r="AP97" s="86"/>
      <c r="AQ97" s="86"/>
    </row>
    <row r="112" spans="32:43" s="35" customFormat="1" ht="13.5" customHeight="1">
      <c r="AF112" s="86"/>
      <c r="AG112" s="86"/>
      <c r="AK112" s="86"/>
      <c r="AL112" s="86"/>
      <c r="AM112" s="86"/>
      <c r="AN112" s="86"/>
      <c r="AO112" s="86"/>
      <c r="AP112" s="86"/>
      <c r="AQ112" s="86"/>
    </row>
    <row r="132" spans="32:43" s="35" customFormat="1" ht="13.5" customHeight="1">
      <c r="AF132" s="86"/>
      <c r="AG132" s="86"/>
      <c r="AK132" s="86"/>
      <c r="AL132" s="86"/>
      <c r="AM132" s="86"/>
      <c r="AN132" s="86"/>
      <c r="AO132" s="86"/>
      <c r="AP132" s="86"/>
      <c r="AQ132" s="86"/>
    </row>
    <row r="134" spans="32:43" s="35" customFormat="1" ht="13.5" customHeight="1">
      <c r="AF134" s="86"/>
      <c r="AG134" s="86"/>
      <c r="AK134" s="86"/>
      <c r="AL134" s="86"/>
      <c r="AM134" s="86"/>
      <c r="AN134" s="86"/>
      <c r="AO134" s="86"/>
      <c r="AP134" s="86"/>
      <c r="AQ134" s="86"/>
    </row>
  </sheetData>
  <sheetProtection password="A6C9" sheet="1" objects="1" scenarios="1"/>
  <mergeCells count="263">
    <mergeCell ref="B65:H65"/>
    <mergeCell ref="A1:AE1"/>
    <mergeCell ref="B4:E4"/>
    <mergeCell ref="F4:K4"/>
    <mergeCell ref="I23:O23"/>
    <mergeCell ref="P23:R23"/>
    <mergeCell ref="AB45:AH47"/>
    <mergeCell ref="B6:H6"/>
    <mergeCell ref="I6:R6"/>
    <mergeCell ref="I7:R7"/>
    <mergeCell ref="I10:R10"/>
    <mergeCell ref="B10:H10"/>
    <mergeCell ref="B11:H11"/>
    <mergeCell ref="B12:H12"/>
    <mergeCell ref="B26:H26"/>
    <mergeCell ref="B27:D29"/>
    <mergeCell ref="I22:R22"/>
    <mergeCell ref="B17:D18"/>
    <mergeCell ref="I18:O18"/>
    <mergeCell ref="P18:R18"/>
    <mergeCell ref="E18:H18"/>
    <mergeCell ref="B22:H22"/>
    <mergeCell ref="B23:H23"/>
    <mergeCell ref="I19:R19"/>
    <mergeCell ref="B19:H19"/>
    <mergeCell ref="B7:H7"/>
    <mergeCell ref="I11:R11"/>
    <mergeCell ref="I12:R12"/>
    <mergeCell ref="I13:R13"/>
    <mergeCell ref="E27:H27"/>
    <mergeCell ref="J34:L34"/>
    <mergeCell ref="M34:P34"/>
    <mergeCell ref="T34:V34"/>
    <mergeCell ref="E17:H17"/>
    <mergeCell ref="P29:R29"/>
    <mergeCell ref="I26:R26"/>
    <mergeCell ref="E28:H28"/>
    <mergeCell ref="I28:O28"/>
    <mergeCell ref="P28:R28"/>
    <mergeCell ref="I17:O17"/>
    <mergeCell ref="P17:R17"/>
    <mergeCell ref="W34:AA34"/>
    <mergeCell ref="Q33:S34"/>
    <mergeCell ref="B33:D47"/>
    <mergeCell ref="E33:F34"/>
    <mergeCell ref="G33:I34"/>
    <mergeCell ref="J33:L33"/>
    <mergeCell ref="M33:P33"/>
    <mergeCell ref="E35:F35"/>
    <mergeCell ref="G35:I35"/>
    <mergeCell ref="J35:L35"/>
    <mergeCell ref="M35:P35"/>
    <mergeCell ref="E37:F37"/>
    <mergeCell ref="G37:I37"/>
    <mergeCell ref="J37:L37"/>
    <mergeCell ref="M37:P37"/>
    <mergeCell ref="T35:V35"/>
    <mergeCell ref="T33:V33"/>
    <mergeCell ref="W33:AA33"/>
    <mergeCell ref="W36:AA36"/>
    <mergeCell ref="J36:L36"/>
    <mergeCell ref="M36:P36"/>
    <mergeCell ref="Q36:S36"/>
    <mergeCell ref="T36:V36"/>
    <mergeCell ref="W35:AA35"/>
    <mergeCell ref="T37:V37"/>
    <mergeCell ref="W37:AA37"/>
    <mergeCell ref="W38:AA38"/>
    <mergeCell ref="Q37:S37"/>
    <mergeCell ref="W40:AA40"/>
    <mergeCell ref="E40:F40"/>
    <mergeCell ref="G40:I40"/>
    <mergeCell ref="J40:L40"/>
    <mergeCell ref="M40:P40"/>
    <mergeCell ref="Q40:S40"/>
    <mergeCell ref="T40:V40"/>
    <mergeCell ref="E39:F39"/>
    <mergeCell ref="W39:AA39"/>
    <mergeCell ref="G38:I38"/>
    <mergeCell ref="J38:L38"/>
    <mergeCell ref="M38:P38"/>
    <mergeCell ref="Q38:S38"/>
    <mergeCell ref="T38:V38"/>
    <mergeCell ref="G39:I39"/>
    <mergeCell ref="J39:L39"/>
    <mergeCell ref="M39:P39"/>
    <mergeCell ref="Q39:S39"/>
    <mergeCell ref="T39:V39"/>
    <mergeCell ref="Q35:S35"/>
    <mergeCell ref="AB42:AG42"/>
    <mergeCell ref="AB43:AG43"/>
    <mergeCell ref="W44:AA44"/>
    <mergeCell ref="E45:F45"/>
    <mergeCell ref="G45:I45"/>
    <mergeCell ref="J45:L45"/>
    <mergeCell ref="M45:P45"/>
    <mergeCell ref="Q45:S45"/>
    <mergeCell ref="E41:F41"/>
    <mergeCell ref="G41:I41"/>
    <mergeCell ref="J41:L41"/>
    <mergeCell ref="M41:P41"/>
    <mergeCell ref="Q41:S41"/>
    <mergeCell ref="T41:V41"/>
    <mergeCell ref="W41:AA41"/>
    <mergeCell ref="W42:AA42"/>
    <mergeCell ref="E43:F43"/>
    <mergeCell ref="G43:I43"/>
    <mergeCell ref="J43:L43"/>
    <mergeCell ref="M43:P43"/>
    <mergeCell ref="Q43:S43"/>
    <mergeCell ref="T43:V43"/>
    <mergeCell ref="AB41:AG41"/>
    <mergeCell ref="W43:AA43"/>
    <mergeCell ref="E42:F42"/>
    <mergeCell ref="T42:V42"/>
    <mergeCell ref="T45:V45"/>
    <mergeCell ref="W45:AA45"/>
    <mergeCell ref="E44:F44"/>
    <mergeCell ref="G44:I44"/>
    <mergeCell ref="J44:L44"/>
    <mergeCell ref="M44:P44"/>
    <mergeCell ref="Q44:S44"/>
    <mergeCell ref="T44:V44"/>
    <mergeCell ref="AB50:AG50"/>
    <mergeCell ref="AB44:AG44"/>
    <mergeCell ref="AB51:AG51"/>
    <mergeCell ref="AB52:AG52"/>
    <mergeCell ref="W46:AA46"/>
    <mergeCell ref="E47:F47"/>
    <mergeCell ref="G47:I47"/>
    <mergeCell ref="J47:L47"/>
    <mergeCell ref="M47:P47"/>
    <mergeCell ref="Q47:S47"/>
    <mergeCell ref="T47:V47"/>
    <mergeCell ref="W47:AA47"/>
    <mergeCell ref="E46:F46"/>
    <mergeCell ref="G46:I46"/>
    <mergeCell ref="J46:L46"/>
    <mergeCell ref="M46:P46"/>
    <mergeCell ref="Q46:S46"/>
    <mergeCell ref="T46:V46"/>
    <mergeCell ref="J51:S51"/>
    <mergeCell ref="T51:V51"/>
    <mergeCell ref="W51:AA51"/>
    <mergeCell ref="E52:F52"/>
    <mergeCell ref="G52:I52"/>
    <mergeCell ref="J52:S52"/>
    <mergeCell ref="T52:V52"/>
    <mergeCell ref="W52:AA52"/>
    <mergeCell ref="E50:F51"/>
    <mergeCell ref="G50:I51"/>
    <mergeCell ref="J50:S50"/>
    <mergeCell ref="T50:V50"/>
    <mergeCell ref="W50:AA50"/>
    <mergeCell ref="E53:F53"/>
    <mergeCell ref="G53:I53"/>
    <mergeCell ref="J53:S53"/>
    <mergeCell ref="T53:V53"/>
    <mergeCell ref="W53:AA53"/>
    <mergeCell ref="T58:V58"/>
    <mergeCell ref="W58:AA58"/>
    <mergeCell ref="E57:F57"/>
    <mergeCell ref="G57:I57"/>
    <mergeCell ref="J57:S57"/>
    <mergeCell ref="T57:V57"/>
    <mergeCell ref="W57:AA57"/>
    <mergeCell ref="E54:F54"/>
    <mergeCell ref="G54:I54"/>
    <mergeCell ref="J54:S54"/>
    <mergeCell ref="T54:V54"/>
    <mergeCell ref="E56:F56"/>
    <mergeCell ref="G56:I56"/>
    <mergeCell ref="J56:S56"/>
    <mergeCell ref="T56:V56"/>
    <mergeCell ref="W56:AA56"/>
    <mergeCell ref="W54:AA54"/>
    <mergeCell ref="E55:F55"/>
    <mergeCell ref="G55:I55"/>
    <mergeCell ref="J55:S55"/>
    <mergeCell ref="T55:V55"/>
    <mergeCell ref="W55:AA55"/>
    <mergeCell ref="T64:V64"/>
    <mergeCell ref="W64:AA64"/>
    <mergeCell ref="B50:D64"/>
    <mergeCell ref="E63:F63"/>
    <mergeCell ref="G63:I63"/>
    <mergeCell ref="J63:S63"/>
    <mergeCell ref="T63:V63"/>
    <mergeCell ref="W63:AA63"/>
    <mergeCell ref="E62:F62"/>
    <mergeCell ref="G62:I62"/>
    <mergeCell ref="J62:S62"/>
    <mergeCell ref="T62:V62"/>
    <mergeCell ref="W62:AA62"/>
    <mergeCell ref="E61:F61"/>
    <mergeCell ref="G61:I61"/>
    <mergeCell ref="J61:S61"/>
    <mergeCell ref="T61:V61"/>
    <mergeCell ref="W61:AA61"/>
    <mergeCell ref="E60:F60"/>
    <mergeCell ref="G60:I60"/>
    <mergeCell ref="J60:S60"/>
    <mergeCell ref="E58:F58"/>
    <mergeCell ref="G58:I58"/>
    <mergeCell ref="J58:S58"/>
    <mergeCell ref="E64:F64"/>
    <mergeCell ref="G64:I64"/>
    <mergeCell ref="J64:S64"/>
    <mergeCell ref="G42:I42"/>
    <mergeCell ref="J42:L42"/>
    <mergeCell ref="M42:P42"/>
    <mergeCell ref="Q42:S42"/>
    <mergeCell ref="E36:F36"/>
    <mergeCell ref="E38:F38"/>
    <mergeCell ref="G36:I36"/>
    <mergeCell ref="AB57:AG57"/>
    <mergeCell ref="AB58:AG58"/>
    <mergeCell ref="AB59:AG59"/>
    <mergeCell ref="AB60:AG60"/>
    <mergeCell ref="AB61:AG61"/>
    <mergeCell ref="B13:H13"/>
    <mergeCell ref="AB33:AG33"/>
    <mergeCell ref="AB34:AG34"/>
    <mergeCell ref="AB35:AG35"/>
    <mergeCell ref="AB36:AG36"/>
    <mergeCell ref="AB37:AG37"/>
    <mergeCell ref="AB38:AG38"/>
    <mergeCell ref="AB39:AG39"/>
    <mergeCell ref="AB40:AG40"/>
    <mergeCell ref="T60:V60"/>
    <mergeCell ref="W60:AA60"/>
    <mergeCell ref="E59:F59"/>
    <mergeCell ref="G59:I59"/>
    <mergeCell ref="J59:S59"/>
    <mergeCell ref="T59:V59"/>
    <mergeCell ref="W59:AA59"/>
    <mergeCell ref="I27:R27"/>
    <mergeCell ref="E29:H29"/>
    <mergeCell ref="I29:O29"/>
    <mergeCell ref="AB62:AG62"/>
    <mergeCell ref="AB63:AG63"/>
    <mergeCell ref="AB64:AG64"/>
    <mergeCell ref="A2:AG2"/>
    <mergeCell ref="T6:AG6"/>
    <mergeCell ref="T7:AG7"/>
    <mergeCell ref="T10:AG10"/>
    <mergeCell ref="T11:AG11"/>
    <mergeCell ref="T12:AG12"/>
    <mergeCell ref="T13:AG13"/>
    <mergeCell ref="T17:AG17"/>
    <mergeCell ref="T18:AG18"/>
    <mergeCell ref="T19:AG19"/>
    <mergeCell ref="T22:AG22"/>
    <mergeCell ref="T23:AG23"/>
    <mergeCell ref="T26:AG26"/>
    <mergeCell ref="T27:AG27"/>
    <mergeCell ref="T28:AG28"/>
    <mergeCell ref="T29:AG29"/>
    <mergeCell ref="B15:AG15"/>
    <mergeCell ref="AB53:AG53"/>
    <mergeCell ref="AB54:AG54"/>
    <mergeCell ref="AB55:AG55"/>
    <mergeCell ref="AB56:AG56"/>
  </mergeCells>
  <phoneticPr fontId="1"/>
  <conditionalFormatting sqref="T35">
    <cfRule type="expression" dxfId="6" priority="12">
      <formula>#REF!="独自計算"</formula>
    </cfRule>
  </conditionalFormatting>
  <conditionalFormatting sqref="T36:T46">
    <cfRule type="expression" dxfId="5" priority="9">
      <formula>#REF!="独自計算"</formula>
    </cfRule>
  </conditionalFormatting>
  <conditionalFormatting sqref="AP19:AU19 AL19">
    <cfRule type="expression" dxfId="4" priority="17">
      <formula>$I$29="その他"</formula>
    </cfRule>
  </conditionalFormatting>
  <conditionalFormatting sqref="M35:P46">
    <cfRule type="expression" dxfId="3" priority="4">
      <formula>$I$22="その他"</formula>
    </cfRule>
  </conditionalFormatting>
  <conditionalFormatting sqref="M36:P46">
    <cfRule type="expression" dxfId="2" priority="3">
      <formula>$I$21="その他"</formula>
    </cfRule>
  </conditionalFormatting>
  <conditionalFormatting sqref="I27:R29">
    <cfRule type="expression" dxfId="1" priority="2">
      <formula>$I$26="非該当"</formula>
    </cfRule>
  </conditionalFormatting>
  <conditionalFormatting sqref="B50:AA64">
    <cfRule type="expression" dxfId="0" priority="1">
      <formula>$I$26="非該当"</formula>
    </cfRule>
  </conditionalFormatting>
  <dataValidations count="2">
    <dataValidation type="list" allowBlank="1" showInputMessage="1" showErrorMessage="1" sqref="I27:R27">
      <formula1>"有り,無し（一定速）"</formula1>
    </dataValidation>
    <dataValidation type="list" allowBlank="1" showInputMessage="1" showErrorMessage="1" sqref="G35:G46 H36:I46 G52:G63 H53:I63 P36:P46">
      <formula1>"冷房,暖房"</formula1>
    </dataValidation>
  </dataValidations>
  <printOptions horizontalCentered="1"/>
  <pageMargins left="0.23622047244094491" right="0.23622047244094491" top="0.74803149606299213" bottom="0.59055118110236227" header="0.31496062992125984" footer="0.31496062992125984"/>
  <pageSetup paperSize="9" scale="80" fitToHeight="0" orientation="portrait" cellComments="asDisplayed" r:id="rId1"/>
  <ignoredErrors>
    <ignoredError sqref="G36:I46 G35 I22 M36:P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'&lt;吸収式&gt;マスタ'!$F$12:$F$13</xm:f>
          </x14:formula1>
          <xm:sqref>I19:R19</xm:sqref>
        </x14:dataValidation>
        <x14:dataValidation type="list" allowBlank="1" showInputMessage="1" showErrorMessage="1">
          <x14:formula1>
            <xm:f>'&lt;吸収式&gt;マスタ'!$U$73:$U$74</xm:f>
          </x14:formula1>
          <xm:sqref>AH13</xm:sqref>
        </x14:dataValidation>
        <x14:dataValidation type="list" allowBlank="1" showInputMessage="1" showErrorMessage="1">
          <x14:formula1>
            <xm:f>'&lt;吸収式&gt;マスタ'!$D$7</xm:f>
          </x14:formula1>
          <xm:sqref>AL6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P151"/>
  <sheetViews>
    <sheetView view="pageBreakPreview" zoomScale="70" zoomScaleNormal="85" zoomScaleSheetLayoutView="70" workbookViewId="0">
      <selection activeCell="U11" sqref="U11"/>
    </sheetView>
  </sheetViews>
  <sheetFormatPr defaultRowHeight="13.5"/>
  <cols>
    <col min="1" max="1" width="4.75" customWidth="1"/>
    <col min="3" max="3" width="0.875" style="27" customWidth="1"/>
    <col min="4" max="4" width="23.625" style="27" customWidth="1"/>
    <col min="5" max="5" width="0.875" customWidth="1"/>
    <col min="6" max="6" width="17.5" bestFit="1" customWidth="1"/>
    <col min="7" max="7" width="11" bestFit="1" customWidth="1"/>
    <col min="8" max="8" width="7.5" bestFit="1" customWidth="1"/>
    <col min="9" max="9" width="14.375" bestFit="1" customWidth="1"/>
    <col min="10" max="10" width="5.25" bestFit="1" customWidth="1"/>
    <col min="11" max="11" width="5.25" style="27" bestFit="1" customWidth="1"/>
    <col min="12" max="12" width="5.5" style="27" bestFit="1" customWidth="1"/>
    <col min="13" max="13" width="13" style="27" bestFit="1" customWidth="1"/>
    <col min="14" max="14" width="1.25" customWidth="1"/>
    <col min="15" max="15" width="17.25" customWidth="1"/>
    <col min="16" max="17" width="9" customWidth="1"/>
    <col min="18" max="18" width="27.75" bestFit="1" customWidth="1"/>
    <col min="19" max="19" width="9" customWidth="1"/>
    <col min="20" max="20" width="0.875" customWidth="1"/>
    <col min="21" max="22" width="9" customWidth="1"/>
    <col min="23" max="23" width="0.75" customWidth="1"/>
    <col min="24" max="24" width="4.875" customWidth="1"/>
    <col min="25" max="25" width="11" bestFit="1" customWidth="1"/>
    <col min="26" max="26" width="9.125" bestFit="1" customWidth="1"/>
    <col min="27" max="28" width="11.875" customWidth="1"/>
    <col min="29" max="29" width="11.875" style="27" customWidth="1"/>
    <col min="30" max="30" width="5.375" customWidth="1"/>
    <col min="31" max="31" width="10.75" customWidth="1"/>
    <col min="33" max="33" width="10" bestFit="1" customWidth="1"/>
    <col min="34" max="34" width="18.375" bestFit="1" customWidth="1"/>
    <col min="35" max="35" width="25.625" bestFit="1" customWidth="1"/>
    <col min="36" max="36" width="9" style="9"/>
    <col min="37" max="37" width="15.25" bestFit="1" customWidth="1"/>
    <col min="38" max="38" width="14.375" bestFit="1" customWidth="1"/>
    <col min="39" max="39" width="9.75" customWidth="1"/>
    <col min="41" max="41" width="11" bestFit="1" customWidth="1"/>
    <col min="42" max="42" width="11.75" customWidth="1"/>
    <col min="43" max="43" width="1.5" customWidth="1"/>
  </cols>
  <sheetData>
    <row r="1" spans="2:42" ht="14.25" thickBot="1"/>
    <row r="2" spans="2:42" ht="15" thickBot="1">
      <c r="B2" s="5" t="s">
        <v>48</v>
      </c>
      <c r="C2" s="34"/>
      <c r="D2" s="3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7"/>
      <c r="AD2" s="7"/>
      <c r="AE2" s="7"/>
      <c r="AG2" s="7"/>
    </row>
    <row r="5" spans="2:42">
      <c r="B5" t="s">
        <v>3</v>
      </c>
      <c r="D5" s="27" t="s">
        <v>104</v>
      </c>
      <c r="F5" t="s">
        <v>12</v>
      </c>
      <c r="O5" t="s">
        <v>151</v>
      </c>
      <c r="U5" t="s">
        <v>66</v>
      </c>
      <c r="X5" t="s">
        <v>101</v>
      </c>
      <c r="AE5" t="s">
        <v>102</v>
      </c>
    </row>
    <row r="6" spans="2:42" ht="13.5" customHeight="1">
      <c r="B6" s="2" t="s">
        <v>4</v>
      </c>
      <c r="C6" s="31"/>
      <c r="D6" s="28" t="s">
        <v>166</v>
      </c>
      <c r="F6" s="30" t="s">
        <v>154</v>
      </c>
      <c r="G6" s="30" t="s">
        <v>69</v>
      </c>
      <c r="H6" s="30" t="s">
        <v>75</v>
      </c>
      <c r="I6" s="30" t="s">
        <v>153</v>
      </c>
      <c r="J6" s="30" t="s">
        <v>75</v>
      </c>
      <c r="K6" s="30" t="s">
        <v>96</v>
      </c>
      <c r="L6" s="30" t="s">
        <v>98</v>
      </c>
      <c r="M6" s="30" t="s">
        <v>157</v>
      </c>
      <c r="O6" s="10" t="s">
        <v>158</v>
      </c>
      <c r="P6" s="10" t="s">
        <v>67</v>
      </c>
      <c r="Q6" s="10" t="s">
        <v>60</v>
      </c>
      <c r="R6" s="23" t="s">
        <v>68</v>
      </c>
      <c r="S6" s="10" t="s">
        <v>61</v>
      </c>
      <c r="T6" s="3"/>
      <c r="U6" s="10" t="s">
        <v>65</v>
      </c>
      <c r="V6" s="10" t="s">
        <v>60</v>
      </c>
      <c r="X6" s="30"/>
      <c r="Y6" s="30"/>
      <c r="Z6" s="29"/>
      <c r="AA6" s="30" t="s">
        <v>9</v>
      </c>
      <c r="AB6" s="30" t="s">
        <v>10</v>
      </c>
      <c r="AC6" s="30"/>
      <c r="AE6" s="10"/>
      <c r="AF6" s="10"/>
      <c r="AG6" s="10"/>
      <c r="AH6" s="11"/>
      <c r="AI6" s="8"/>
      <c r="AJ6" s="378" t="s">
        <v>41</v>
      </c>
      <c r="AK6" s="383" t="s">
        <v>45</v>
      </c>
      <c r="AL6" s="384" t="s">
        <v>49</v>
      </c>
      <c r="AM6" s="380" t="s">
        <v>42</v>
      </c>
      <c r="AN6" s="381"/>
      <c r="AO6" s="382"/>
      <c r="AP6" s="386" t="s">
        <v>83</v>
      </c>
    </row>
    <row r="7" spans="2:42">
      <c r="B7" s="2" t="s">
        <v>5</v>
      </c>
      <c r="C7" s="31"/>
      <c r="D7" s="28" t="s">
        <v>145</v>
      </c>
      <c r="F7" s="28" t="s">
        <v>55</v>
      </c>
      <c r="G7" s="24">
        <v>10750</v>
      </c>
      <c r="H7" s="28" t="s">
        <v>126</v>
      </c>
      <c r="I7" s="29" t="s">
        <v>77</v>
      </c>
      <c r="J7" s="29" t="s">
        <v>85</v>
      </c>
      <c r="K7" s="29" t="s">
        <v>116</v>
      </c>
      <c r="L7" s="29"/>
      <c r="M7" s="29"/>
      <c r="O7" s="28" t="s">
        <v>148</v>
      </c>
      <c r="P7" s="28" t="s">
        <v>0</v>
      </c>
      <c r="Q7" s="18">
        <v>1990</v>
      </c>
      <c r="R7" s="18" t="str">
        <f>O7&amp;P7&amp;Q7</f>
        <v>吸収冷温水機(ガス)冷房1990</v>
      </c>
      <c r="S7" s="13">
        <v>0.96</v>
      </c>
      <c r="T7" s="19"/>
      <c r="U7" s="59" t="s">
        <v>159</v>
      </c>
      <c r="V7" s="21">
        <v>1990</v>
      </c>
      <c r="X7" s="30" t="s">
        <v>15</v>
      </c>
      <c r="Y7" s="30" t="s">
        <v>8</v>
      </c>
      <c r="Z7" s="29" t="s">
        <v>16</v>
      </c>
      <c r="AA7" s="30" t="s">
        <v>11</v>
      </c>
      <c r="AB7" s="12" t="s">
        <v>11</v>
      </c>
      <c r="AC7" s="12"/>
      <c r="AE7" s="10" t="s">
        <v>13</v>
      </c>
      <c r="AF7" s="10" t="s">
        <v>8</v>
      </c>
      <c r="AG7" s="10" t="s">
        <v>46</v>
      </c>
      <c r="AH7" s="10" t="s">
        <v>124</v>
      </c>
      <c r="AI7" s="8" t="s">
        <v>16</v>
      </c>
      <c r="AJ7" s="379"/>
      <c r="AK7" s="379"/>
      <c r="AL7" s="385"/>
      <c r="AM7" s="10" t="s">
        <v>43</v>
      </c>
      <c r="AN7" s="10" t="s">
        <v>44</v>
      </c>
      <c r="AO7" s="14" t="s">
        <v>83</v>
      </c>
      <c r="AP7" s="386"/>
    </row>
    <row r="8" spans="2:42">
      <c r="B8" s="31" t="s">
        <v>206</v>
      </c>
      <c r="D8" s="28" t="s">
        <v>107</v>
      </c>
      <c r="F8" s="28" t="s">
        <v>70</v>
      </c>
      <c r="G8" s="24">
        <v>23889</v>
      </c>
      <c r="H8" s="28" t="s">
        <v>126</v>
      </c>
      <c r="I8" s="29" t="s">
        <v>155</v>
      </c>
      <c r="J8" s="29" t="s">
        <v>85</v>
      </c>
      <c r="K8" s="29" t="s">
        <v>116</v>
      </c>
      <c r="L8" s="29"/>
      <c r="M8" s="29"/>
      <c r="O8" s="28" t="s">
        <v>148</v>
      </c>
      <c r="P8" s="28" t="s">
        <v>0</v>
      </c>
      <c r="Q8" s="18">
        <v>2000</v>
      </c>
      <c r="R8" s="18" t="str">
        <f t="shared" ref="R8" si="0">O8&amp;P8&amp;Q8</f>
        <v>吸収冷温水機(ガス)冷房2000</v>
      </c>
      <c r="S8" s="13">
        <v>1.0069999999999999</v>
      </c>
      <c r="T8" s="19"/>
      <c r="U8" s="20">
        <v>1951</v>
      </c>
      <c r="V8" s="21">
        <v>1990</v>
      </c>
      <c r="X8" s="29">
        <v>1</v>
      </c>
      <c r="Y8" s="29" t="s">
        <v>6</v>
      </c>
      <c r="Z8" s="29" t="s">
        <v>17</v>
      </c>
      <c r="AA8" s="33">
        <v>0</v>
      </c>
      <c r="AB8" s="33">
        <v>0.56200000000000006</v>
      </c>
      <c r="AC8" s="33" t="s">
        <v>204</v>
      </c>
      <c r="AE8" s="2">
        <v>1</v>
      </c>
      <c r="AF8" s="2" t="s">
        <v>6</v>
      </c>
      <c r="AG8" s="26" t="s">
        <v>47</v>
      </c>
      <c r="AH8" s="2" t="s">
        <v>122</v>
      </c>
      <c r="AI8" s="2" t="str">
        <f t="shared" ref="AI8:AI23" si="1">AE8&amp;AG8&amp;AF8&amp;AH8</f>
        <v>1暖房店舗既存設備</v>
      </c>
      <c r="AJ8" s="33">
        <v>0.56200000000000006</v>
      </c>
      <c r="AK8" s="17">
        <v>0.9</v>
      </c>
      <c r="AL8" s="17">
        <v>1</v>
      </c>
      <c r="AM8" s="2"/>
      <c r="AN8" s="2"/>
      <c r="AO8" s="16">
        <v>1</v>
      </c>
      <c r="AP8" s="17">
        <f>IF(AJ8&gt;=0.5,AO8,IF(AJ8&gt;=0.3,AL8,AK8))</f>
        <v>1</v>
      </c>
    </row>
    <row r="9" spans="2:42">
      <c r="D9" s="28" t="s">
        <v>143</v>
      </c>
      <c r="F9" s="28" t="s">
        <v>71</v>
      </c>
      <c r="G9" s="24">
        <v>15050</v>
      </c>
      <c r="H9" s="28" t="s">
        <v>126</v>
      </c>
      <c r="I9" s="29" t="s">
        <v>77</v>
      </c>
      <c r="J9" s="29" t="s">
        <v>86</v>
      </c>
      <c r="K9" s="29" t="s">
        <v>116</v>
      </c>
      <c r="L9" s="29"/>
      <c r="M9" s="29"/>
      <c r="O9" s="28" t="s">
        <v>148</v>
      </c>
      <c r="P9" s="28" t="s">
        <v>0</v>
      </c>
      <c r="Q9" s="18">
        <v>2010</v>
      </c>
      <c r="R9" s="18" t="str">
        <f>O9&amp;P9&amp;Q9</f>
        <v>吸収冷温水機(ガス)冷房2010</v>
      </c>
      <c r="S9" s="13">
        <v>1.1759999999999999</v>
      </c>
      <c r="T9" s="19"/>
      <c r="U9" s="20">
        <v>1952</v>
      </c>
      <c r="V9" s="21">
        <v>1990</v>
      </c>
      <c r="X9" s="29">
        <v>1</v>
      </c>
      <c r="Y9" s="29" t="s">
        <v>7</v>
      </c>
      <c r="Z9" s="29" t="s">
        <v>40</v>
      </c>
      <c r="AA9" s="33">
        <v>0</v>
      </c>
      <c r="AB9" s="61">
        <v>0.58899999999999997</v>
      </c>
      <c r="AC9" s="33" t="s">
        <v>204</v>
      </c>
      <c r="AE9" s="2">
        <v>1</v>
      </c>
      <c r="AF9" s="2" t="s">
        <v>6</v>
      </c>
      <c r="AG9" s="26" t="s">
        <v>47</v>
      </c>
      <c r="AH9" s="2" t="s">
        <v>125</v>
      </c>
      <c r="AI9" s="2" t="str">
        <f t="shared" si="1"/>
        <v>1暖房店舗導入予定設備</v>
      </c>
      <c r="AJ9" s="33">
        <v>0.56200000000000006</v>
      </c>
      <c r="AK9" s="17">
        <v>0.9</v>
      </c>
      <c r="AL9" s="17">
        <v>1</v>
      </c>
      <c r="AM9" s="2"/>
      <c r="AN9" s="2"/>
      <c r="AO9" s="16">
        <v>1</v>
      </c>
      <c r="AP9" s="17">
        <f>IF(AJ9&gt;=0.5,AO9,IF(AJ9&gt;=0.3,AL9,AK9))</f>
        <v>1</v>
      </c>
    </row>
    <row r="10" spans="2:42">
      <c r="D10" s="28" t="s">
        <v>142</v>
      </c>
      <c r="F10" s="28" t="s">
        <v>72</v>
      </c>
      <c r="G10" s="24">
        <v>5017</v>
      </c>
      <c r="H10" s="28" t="s">
        <v>126</v>
      </c>
      <c r="I10" s="29" t="s">
        <v>77</v>
      </c>
      <c r="J10" s="29" t="s">
        <v>86</v>
      </c>
      <c r="K10" s="29" t="s">
        <v>116</v>
      </c>
      <c r="L10" s="29"/>
      <c r="M10" s="29"/>
      <c r="O10" s="28" t="s">
        <v>150</v>
      </c>
      <c r="P10" s="28" t="s">
        <v>0</v>
      </c>
      <c r="Q10" s="18">
        <v>1990</v>
      </c>
      <c r="R10" s="18" t="str">
        <f>O10&amp;P10&amp;Q10</f>
        <v>ジェネリンク(ガス)冷房1990</v>
      </c>
      <c r="S10" s="13">
        <v>0.96</v>
      </c>
      <c r="T10" s="19"/>
      <c r="U10" s="20">
        <v>1953</v>
      </c>
      <c r="V10" s="21">
        <v>1990</v>
      </c>
      <c r="X10" s="29">
        <v>2</v>
      </c>
      <c r="Y10" s="29" t="s">
        <v>6</v>
      </c>
      <c r="Z10" s="29" t="s">
        <v>18</v>
      </c>
      <c r="AA10" s="33">
        <v>0</v>
      </c>
      <c r="AB10" s="33">
        <v>0.56200000000000006</v>
      </c>
      <c r="AC10" s="33" t="s">
        <v>204</v>
      </c>
      <c r="AE10" s="2">
        <v>1</v>
      </c>
      <c r="AF10" s="2" t="s">
        <v>7</v>
      </c>
      <c r="AG10" s="26" t="s">
        <v>47</v>
      </c>
      <c r="AH10" s="2" t="s">
        <v>122</v>
      </c>
      <c r="AI10" s="2" t="str">
        <f t="shared" si="1"/>
        <v>1暖房事務所既存設備</v>
      </c>
      <c r="AJ10" s="33">
        <v>0.58899999999999997</v>
      </c>
      <c r="AK10" s="17">
        <v>0.9</v>
      </c>
      <c r="AL10" s="17">
        <v>1</v>
      </c>
      <c r="AM10" s="2"/>
      <c r="AN10" s="2"/>
      <c r="AO10" s="17">
        <v>1</v>
      </c>
      <c r="AP10" s="17">
        <f t="shared" ref="AP10:AP72" si="2">IF(AJ10&gt;=0.5,AO10,IF(AJ10&gt;=0.3,AL10,AK10))</f>
        <v>1</v>
      </c>
    </row>
    <row r="11" spans="2:42">
      <c r="D11" s="28" t="s">
        <v>108</v>
      </c>
      <c r="F11" s="28" t="s">
        <v>168</v>
      </c>
      <c r="G11" s="24" t="s">
        <v>79</v>
      </c>
      <c r="H11" s="28" t="s">
        <v>126</v>
      </c>
      <c r="I11" s="29" t="s">
        <v>77</v>
      </c>
      <c r="J11" s="29" t="s">
        <v>86</v>
      </c>
      <c r="K11" s="29" t="s">
        <v>116</v>
      </c>
      <c r="L11" s="29"/>
      <c r="M11" s="29"/>
      <c r="O11" s="28" t="s">
        <v>150</v>
      </c>
      <c r="P11" s="28" t="s">
        <v>0</v>
      </c>
      <c r="Q11" s="18">
        <v>2000</v>
      </c>
      <c r="R11" s="18" t="str">
        <f>O11&amp;P11&amp;Q11</f>
        <v>ジェネリンク(ガス)冷房2000</v>
      </c>
      <c r="S11" s="13">
        <v>1.0069999999999999</v>
      </c>
      <c r="T11" s="19"/>
      <c r="U11" s="20">
        <v>1954</v>
      </c>
      <c r="V11" s="21">
        <v>1990</v>
      </c>
      <c r="X11" s="29">
        <v>2</v>
      </c>
      <c r="Y11" s="29" t="s">
        <v>7</v>
      </c>
      <c r="Z11" s="29" t="s">
        <v>19</v>
      </c>
      <c r="AA11" s="33">
        <v>0</v>
      </c>
      <c r="AB11" s="61">
        <v>0.57399999999999995</v>
      </c>
      <c r="AC11" s="33" t="s">
        <v>204</v>
      </c>
      <c r="AE11" s="2">
        <v>1</v>
      </c>
      <c r="AF11" s="2" t="s">
        <v>7</v>
      </c>
      <c r="AG11" s="26" t="s">
        <v>47</v>
      </c>
      <c r="AH11" s="2" t="s">
        <v>125</v>
      </c>
      <c r="AI11" s="2" t="str">
        <f t="shared" si="1"/>
        <v>1暖房事務所導入予定設備</v>
      </c>
      <c r="AJ11" s="33">
        <v>0.58899999999999997</v>
      </c>
      <c r="AK11" s="17">
        <v>0.9</v>
      </c>
      <c r="AL11" s="17">
        <v>1</v>
      </c>
      <c r="AM11" s="2"/>
      <c r="AN11" s="2"/>
      <c r="AO11" s="17">
        <v>1</v>
      </c>
      <c r="AP11" s="17">
        <f t="shared" si="2"/>
        <v>1</v>
      </c>
    </row>
    <row r="12" spans="2:42" ht="13.5" customHeight="1">
      <c r="D12" s="64" t="s">
        <v>146</v>
      </c>
      <c r="F12" s="29" t="s">
        <v>73</v>
      </c>
      <c r="G12" s="25">
        <v>10800</v>
      </c>
      <c r="H12" s="28" t="s">
        <v>82</v>
      </c>
      <c r="I12" s="29" t="s">
        <v>78</v>
      </c>
      <c r="J12" s="29" t="s">
        <v>87</v>
      </c>
      <c r="K12" s="29" t="s">
        <v>97</v>
      </c>
      <c r="L12" s="29">
        <v>0.86</v>
      </c>
      <c r="M12" s="29">
        <v>39.1</v>
      </c>
      <c r="O12" s="28" t="s">
        <v>141</v>
      </c>
      <c r="P12" s="28" t="s">
        <v>0</v>
      </c>
      <c r="Q12" s="18">
        <v>2010</v>
      </c>
      <c r="R12" s="18" t="str">
        <f>O12&amp;P12&amp;Q12</f>
        <v>ジェネリンク(ガス)冷房2010</v>
      </c>
      <c r="S12" s="13">
        <v>1.1759999999999999</v>
      </c>
      <c r="T12" s="19"/>
      <c r="U12" s="20">
        <v>1955</v>
      </c>
      <c r="V12" s="21">
        <v>1990</v>
      </c>
      <c r="X12" s="29">
        <v>3</v>
      </c>
      <c r="Y12" s="29" t="s">
        <v>6</v>
      </c>
      <c r="Z12" s="29" t="s">
        <v>20</v>
      </c>
      <c r="AA12" s="33">
        <v>0</v>
      </c>
      <c r="AB12" s="61">
        <v>0.27300000000000002</v>
      </c>
      <c r="AC12" s="33" t="s">
        <v>204</v>
      </c>
      <c r="AE12" s="2">
        <v>1</v>
      </c>
      <c r="AF12" s="2" t="s">
        <v>6</v>
      </c>
      <c r="AG12" s="15" t="s">
        <v>0</v>
      </c>
      <c r="AH12" s="2" t="s">
        <v>122</v>
      </c>
      <c r="AI12" s="2" t="str">
        <f t="shared" ref="AI12:AI15" si="3">AE12&amp;AG12&amp;AF12&amp;AH12</f>
        <v>1冷房店舗既存設備</v>
      </c>
      <c r="AJ12" s="33">
        <v>0</v>
      </c>
      <c r="AK12" s="17">
        <v>0.93</v>
      </c>
      <c r="AL12" s="17">
        <v>1.03</v>
      </c>
      <c r="AM12" s="2">
        <v>-0.06</v>
      </c>
      <c r="AN12" s="2">
        <v>1.06</v>
      </c>
      <c r="AO12" s="16">
        <f>ROUNDDOWN(AM12*AJ12+AN12,2)</f>
        <v>1.06</v>
      </c>
      <c r="AP12" s="17">
        <f t="shared" si="2"/>
        <v>0.93</v>
      </c>
    </row>
    <row r="13" spans="2:42">
      <c r="D13" s="65" t="s">
        <v>147</v>
      </c>
      <c r="F13" s="29" t="s">
        <v>74</v>
      </c>
      <c r="G13" s="25">
        <v>11108</v>
      </c>
      <c r="H13" s="28" t="s">
        <v>82</v>
      </c>
      <c r="I13" s="29" t="s">
        <v>78</v>
      </c>
      <c r="J13" s="29" t="s">
        <v>87</v>
      </c>
      <c r="K13" s="29" t="s">
        <v>97</v>
      </c>
      <c r="L13" s="29">
        <v>0.8</v>
      </c>
      <c r="M13" s="29">
        <v>36.700000000000003</v>
      </c>
      <c r="O13" s="28" t="s">
        <v>149</v>
      </c>
      <c r="P13" s="28" t="s">
        <v>0</v>
      </c>
      <c r="Q13" s="18">
        <v>1990</v>
      </c>
      <c r="R13" s="18" t="str">
        <f>O13&amp;P13&amp;Q13</f>
        <v>吸収冷温水機(油)冷房1990</v>
      </c>
      <c r="S13" s="13">
        <v>0.96</v>
      </c>
      <c r="T13" s="19"/>
      <c r="U13" s="20">
        <v>1956</v>
      </c>
      <c r="V13" s="21">
        <v>1990</v>
      </c>
      <c r="X13" s="29">
        <v>3</v>
      </c>
      <c r="Y13" s="29" t="s">
        <v>7</v>
      </c>
      <c r="Z13" s="29" t="s">
        <v>21</v>
      </c>
      <c r="AA13" s="33">
        <v>0</v>
      </c>
      <c r="AB13" s="33">
        <v>0.40100000000000002</v>
      </c>
      <c r="AC13" s="33" t="s">
        <v>204</v>
      </c>
      <c r="AE13" s="2">
        <v>1</v>
      </c>
      <c r="AF13" s="2" t="s">
        <v>6</v>
      </c>
      <c r="AG13" s="15" t="s">
        <v>0</v>
      </c>
      <c r="AH13" s="2" t="s">
        <v>125</v>
      </c>
      <c r="AI13" s="2" t="str">
        <f t="shared" si="3"/>
        <v>1冷房店舗導入予定設備</v>
      </c>
      <c r="AJ13" s="33">
        <v>0</v>
      </c>
      <c r="AK13" s="17">
        <v>0.96</v>
      </c>
      <c r="AL13" s="17">
        <v>1.07</v>
      </c>
      <c r="AM13" s="2">
        <v>-0.14000000000000001</v>
      </c>
      <c r="AN13" s="2">
        <v>1.1399999999999999</v>
      </c>
      <c r="AO13" s="16">
        <f t="shared" ref="AO13:AO15" si="4">ROUNDDOWN(AM13*AJ13+AN13,2)</f>
        <v>1.1399999999999999</v>
      </c>
      <c r="AP13" s="17">
        <f t="shared" si="2"/>
        <v>0.96</v>
      </c>
    </row>
    <row r="14" spans="2:42">
      <c r="D14" s="65" t="s">
        <v>106</v>
      </c>
      <c r="F14" s="29" t="s">
        <v>88</v>
      </c>
      <c r="G14" s="28"/>
      <c r="H14" s="28"/>
      <c r="I14" s="29" t="s">
        <v>152</v>
      </c>
      <c r="J14" s="29" t="s">
        <v>87</v>
      </c>
      <c r="K14" s="29" t="s">
        <v>97</v>
      </c>
      <c r="L14" s="29"/>
      <c r="M14" s="29"/>
      <c r="N14" s="4"/>
      <c r="O14" s="28" t="s">
        <v>149</v>
      </c>
      <c r="P14" s="28" t="s">
        <v>0</v>
      </c>
      <c r="Q14" s="18">
        <v>2000</v>
      </c>
      <c r="R14" s="18" t="str">
        <f t="shared" ref="R14" si="5">O14&amp;P14&amp;Q14</f>
        <v>吸収冷温水機(油)冷房2000</v>
      </c>
      <c r="S14" s="13">
        <v>1.0069999999999999</v>
      </c>
      <c r="T14" s="4"/>
      <c r="U14" s="20">
        <v>1957</v>
      </c>
      <c r="V14" s="21">
        <v>1990</v>
      </c>
      <c r="X14" s="29">
        <v>4</v>
      </c>
      <c r="Y14" s="29" t="s">
        <v>6</v>
      </c>
      <c r="Z14" s="29" t="s">
        <v>22</v>
      </c>
      <c r="AA14" s="33">
        <v>0</v>
      </c>
      <c r="AB14" s="33">
        <v>0.16</v>
      </c>
      <c r="AC14" s="33" t="s">
        <v>204</v>
      </c>
      <c r="AE14" s="2">
        <v>1</v>
      </c>
      <c r="AF14" s="2" t="s">
        <v>7</v>
      </c>
      <c r="AG14" s="15" t="s">
        <v>0</v>
      </c>
      <c r="AH14" s="2" t="s">
        <v>122</v>
      </c>
      <c r="AI14" s="2" t="str">
        <f t="shared" si="3"/>
        <v>1冷房事務所既存設備</v>
      </c>
      <c r="AJ14" s="33">
        <v>0</v>
      </c>
      <c r="AK14" s="17">
        <v>0.93</v>
      </c>
      <c r="AL14" s="17">
        <v>1.03</v>
      </c>
      <c r="AM14" s="2">
        <v>-0.06</v>
      </c>
      <c r="AN14" s="2">
        <v>1.06</v>
      </c>
      <c r="AO14" s="16">
        <f t="shared" si="4"/>
        <v>1.06</v>
      </c>
      <c r="AP14" s="17">
        <f t="shared" si="2"/>
        <v>0.93</v>
      </c>
    </row>
    <row r="15" spans="2:42">
      <c r="I15" s="4"/>
      <c r="J15" s="4"/>
      <c r="K15" s="32"/>
      <c r="L15" s="32"/>
      <c r="M15" s="32"/>
      <c r="N15" s="4"/>
      <c r="O15" s="28" t="s">
        <v>149</v>
      </c>
      <c r="P15" s="28" t="s">
        <v>0</v>
      </c>
      <c r="Q15" s="18">
        <v>2010</v>
      </c>
      <c r="R15" s="18" t="str">
        <f>O15&amp;P15&amp;Q15</f>
        <v>吸収冷温水機(油)冷房2010</v>
      </c>
      <c r="S15" s="13">
        <v>1.1759999999999999</v>
      </c>
      <c r="T15" s="4"/>
      <c r="U15" s="20">
        <v>1958</v>
      </c>
      <c r="V15" s="21">
        <v>1990</v>
      </c>
      <c r="X15" s="29">
        <v>4</v>
      </c>
      <c r="Y15" s="29" t="s">
        <v>7</v>
      </c>
      <c r="Z15" s="29" t="s">
        <v>23</v>
      </c>
      <c r="AA15" s="33">
        <v>0</v>
      </c>
      <c r="AB15" s="33">
        <v>0.11</v>
      </c>
      <c r="AC15" s="33" t="s">
        <v>204</v>
      </c>
      <c r="AE15" s="2">
        <v>1</v>
      </c>
      <c r="AF15" s="2" t="s">
        <v>7</v>
      </c>
      <c r="AG15" s="15" t="s">
        <v>0</v>
      </c>
      <c r="AH15" s="2" t="s">
        <v>125</v>
      </c>
      <c r="AI15" s="2" t="str">
        <f t="shared" si="3"/>
        <v>1冷房事務所導入予定設備</v>
      </c>
      <c r="AJ15" s="33">
        <v>0</v>
      </c>
      <c r="AK15" s="17">
        <v>0.96</v>
      </c>
      <c r="AL15" s="17">
        <v>1.07</v>
      </c>
      <c r="AM15" s="2">
        <v>-0.14000000000000001</v>
      </c>
      <c r="AN15" s="2">
        <v>1.1399999999999999</v>
      </c>
      <c r="AO15" s="16">
        <f t="shared" si="4"/>
        <v>1.1399999999999999</v>
      </c>
      <c r="AP15" s="17">
        <f t="shared" si="2"/>
        <v>0.96</v>
      </c>
    </row>
    <row r="16" spans="2:42">
      <c r="O16" s="28" t="s">
        <v>142</v>
      </c>
      <c r="P16" s="28" t="s">
        <v>0</v>
      </c>
      <c r="Q16" s="18">
        <v>1990</v>
      </c>
      <c r="R16" s="18" t="str">
        <f t="shared" ref="R16" si="6">O16&amp;P16&amp;Q16</f>
        <v>ジェネリンク(油)冷房1990</v>
      </c>
      <c r="S16" s="13">
        <v>0.96</v>
      </c>
      <c r="U16" s="20">
        <v>1959</v>
      </c>
      <c r="V16" s="21">
        <v>1990</v>
      </c>
      <c r="X16" s="29">
        <v>5</v>
      </c>
      <c r="Y16" s="29" t="s">
        <v>6</v>
      </c>
      <c r="Z16" s="29" t="s">
        <v>24</v>
      </c>
      <c r="AA16" s="33">
        <v>0.29599999999999999</v>
      </c>
      <c r="AB16" s="33">
        <v>0</v>
      </c>
      <c r="AC16" s="33" t="s">
        <v>205</v>
      </c>
      <c r="AE16" s="1">
        <v>2</v>
      </c>
      <c r="AF16" s="2" t="s">
        <v>6</v>
      </c>
      <c r="AG16" s="26" t="s">
        <v>47</v>
      </c>
      <c r="AH16" s="2" t="s">
        <v>122</v>
      </c>
      <c r="AI16" s="2" t="str">
        <f t="shared" si="1"/>
        <v>2暖房店舗既存設備</v>
      </c>
      <c r="AJ16" s="33">
        <v>0.56200000000000006</v>
      </c>
      <c r="AK16" s="17">
        <v>0.9</v>
      </c>
      <c r="AL16" s="17">
        <v>1</v>
      </c>
      <c r="AM16" s="2"/>
      <c r="AN16" s="2"/>
      <c r="AO16" s="16">
        <v>1</v>
      </c>
      <c r="AP16" s="17">
        <f t="shared" si="2"/>
        <v>1</v>
      </c>
    </row>
    <row r="17" spans="6:42">
      <c r="F17" s="27" t="s">
        <v>163</v>
      </c>
      <c r="G17" s="9"/>
      <c r="H17" s="9"/>
      <c r="O17" s="28" t="s">
        <v>142</v>
      </c>
      <c r="P17" s="28" t="s">
        <v>0</v>
      </c>
      <c r="Q17" s="18">
        <v>2000</v>
      </c>
      <c r="R17" s="18" t="str">
        <f>O17&amp;P17&amp;Q17</f>
        <v>ジェネリンク(油)冷房2000</v>
      </c>
      <c r="S17" s="13">
        <v>1.0069999999999999</v>
      </c>
      <c r="U17" s="20">
        <v>1960</v>
      </c>
      <c r="V17" s="21">
        <v>1990</v>
      </c>
      <c r="X17" s="29">
        <v>5</v>
      </c>
      <c r="Y17" s="29" t="s">
        <v>7</v>
      </c>
      <c r="Z17" s="29" t="s">
        <v>25</v>
      </c>
      <c r="AA17" s="61">
        <v>0.104</v>
      </c>
      <c r="AB17" s="33">
        <v>0</v>
      </c>
      <c r="AC17" s="33" t="s">
        <v>205</v>
      </c>
      <c r="AE17" s="1">
        <v>2</v>
      </c>
      <c r="AF17" s="2" t="s">
        <v>6</v>
      </c>
      <c r="AG17" s="26" t="s">
        <v>47</v>
      </c>
      <c r="AH17" s="2" t="s">
        <v>125</v>
      </c>
      <c r="AI17" s="2" t="str">
        <f t="shared" si="1"/>
        <v>2暖房店舗導入予定設備</v>
      </c>
      <c r="AJ17" s="33">
        <v>0.56200000000000006</v>
      </c>
      <c r="AK17" s="17">
        <v>0.9</v>
      </c>
      <c r="AL17" s="17">
        <v>1</v>
      </c>
      <c r="AM17" s="2"/>
      <c r="AN17" s="2"/>
      <c r="AO17" s="16">
        <v>1</v>
      </c>
      <c r="AP17" s="17">
        <f t="shared" si="2"/>
        <v>1</v>
      </c>
    </row>
    <row r="18" spans="6:42">
      <c r="F18" s="28">
        <v>2.58E-2</v>
      </c>
      <c r="O18" s="28" t="s">
        <v>142</v>
      </c>
      <c r="P18" s="28" t="s">
        <v>0</v>
      </c>
      <c r="Q18" s="18">
        <v>2010</v>
      </c>
      <c r="R18" s="18" t="str">
        <f>O18&amp;P18&amp;Q18</f>
        <v>ジェネリンク(油)冷房2010</v>
      </c>
      <c r="S18" s="13">
        <v>1.1759999999999999</v>
      </c>
      <c r="U18" s="20">
        <v>1961</v>
      </c>
      <c r="V18" s="21">
        <v>1990</v>
      </c>
      <c r="X18" s="29">
        <v>6</v>
      </c>
      <c r="Y18" s="29" t="s">
        <v>6</v>
      </c>
      <c r="Z18" s="29" t="s">
        <v>26</v>
      </c>
      <c r="AA18" s="61">
        <v>0.435</v>
      </c>
      <c r="AB18" s="33">
        <v>0</v>
      </c>
      <c r="AC18" s="33" t="s">
        <v>205</v>
      </c>
      <c r="AE18" s="1">
        <v>2</v>
      </c>
      <c r="AF18" s="2" t="s">
        <v>7</v>
      </c>
      <c r="AG18" s="26" t="s">
        <v>47</v>
      </c>
      <c r="AH18" s="2" t="s">
        <v>122</v>
      </c>
      <c r="AI18" s="2" t="str">
        <f t="shared" si="1"/>
        <v>2暖房事務所既存設備</v>
      </c>
      <c r="AJ18" s="33">
        <v>0.57399999999999995</v>
      </c>
      <c r="AK18" s="17">
        <v>0.9</v>
      </c>
      <c r="AL18" s="17">
        <v>1</v>
      </c>
      <c r="AM18" s="2"/>
      <c r="AN18" s="2"/>
      <c r="AO18" s="17">
        <v>1</v>
      </c>
      <c r="AP18" s="17">
        <f t="shared" si="2"/>
        <v>1</v>
      </c>
    </row>
    <row r="19" spans="6:42">
      <c r="F19" s="27"/>
      <c r="K19" s="9"/>
      <c r="L19" s="9"/>
      <c r="M19" s="9"/>
      <c r="N19" s="9"/>
      <c r="O19" s="1" t="s">
        <v>63</v>
      </c>
      <c r="P19" s="1" t="s">
        <v>62</v>
      </c>
      <c r="Q19" s="18">
        <v>1990</v>
      </c>
      <c r="R19" s="18" t="str">
        <f>O19&amp;P19&amp;Q19</f>
        <v>吸収冷凍機冷房1990</v>
      </c>
      <c r="S19" s="13">
        <v>1.1160000000000001</v>
      </c>
      <c r="T19" s="9"/>
      <c r="U19" s="20">
        <v>1962</v>
      </c>
      <c r="V19" s="21">
        <v>1990</v>
      </c>
      <c r="X19" s="29">
        <v>6</v>
      </c>
      <c r="Y19" s="29" t="s">
        <v>7</v>
      </c>
      <c r="Z19" s="29" t="s">
        <v>27</v>
      </c>
      <c r="AA19" s="61">
        <v>0.40200000000000002</v>
      </c>
      <c r="AB19" s="33">
        <v>0</v>
      </c>
      <c r="AC19" s="33" t="s">
        <v>205</v>
      </c>
      <c r="AE19" s="1">
        <v>2</v>
      </c>
      <c r="AF19" s="2" t="s">
        <v>7</v>
      </c>
      <c r="AG19" s="26" t="s">
        <v>47</v>
      </c>
      <c r="AH19" s="2" t="s">
        <v>125</v>
      </c>
      <c r="AI19" s="2" t="str">
        <f t="shared" si="1"/>
        <v>2暖房事務所導入予定設備</v>
      </c>
      <c r="AJ19" s="33">
        <v>0.57399999999999995</v>
      </c>
      <c r="AK19" s="17">
        <v>0.9</v>
      </c>
      <c r="AL19" s="17">
        <v>1</v>
      </c>
      <c r="AM19" s="2"/>
      <c r="AN19" s="2"/>
      <c r="AO19" s="17">
        <v>1</v>
      </c>
      <c r="AP19" s="17">
        <f t="shared" si="2"/>
        <v>1</v>
      </c>
    </row>
    <row r="20" spans="6:42">
      <c r="F20" s="62" t="s">
        <v>165</v>
      </c>
      <c r="O20" s="1" t="s">
        <v>63</v>
      </c>
      <c r="P20" s="1" t="s">
        <v>62</v>
      </c>
      <c r="Q20" s="18">
        <v>2000</v>
      </c>
      <c r="R20" s="18" t="str">
        <f t="shared" ref="R20:R21" si="7">O20&amp;P20&amp;Q20</f>
        <v>吸収冷凍機冷房2000</v>
      </c>
      <c r="S20" s="13">
        <v>1.1679999999999999</v>
      </c>
      <c r="U20" s="20">
        <v>1963</v>
      </c>
      <c r="V20" s="21">
        <v>1990</v>
      </c>
      <c r="X20" s="29">
        <v>7</v>
      </c>
      <c r="Y20" s="29" t="s">
        <v>6</v>
      </c>
      <c r="Z20" s="29" t="s">
        <v>28</v>
      </c>
      <c r="AA20" s="33">
        <v>0.64100000000000001</v>
      </c>
      <c r="AB20" s="33">
        <v>0</v>
      </c>
      <c r="AC20" s="33" t="s">
        <v>205</v>
      </c>
      <c r="AE20" s="1">
        <v>2</v>
      </c>
      <c r="AF20" s="2" t="s">
        <v>6</v>
      </c>
      <c r="AG20" s="15" t="s">
        <v>0</v>
      </c>
      <c r="AH20" s="2" t="s">
        <v>122</v>
      </c>
      <c r="AI20" s="2" t="str">
        <f t="shared" si="1"/>
        <v>2冷房店舗既存設備</v>
      </c>
      <c r="AJ20" s="33">
        <v>0</v>
      </c>
      <c r="AK20" s="17">
        <v>0.93</v>
      </c>
      <c r="AL20" s="17">
        <v>1.03</v>
      </c>
      <c r="AM20" s="2">
        <v>-0.06</v>
      </c>
      <c r="AN20" s="2">
        <v>1.06</v>
      </c>
      <c r="AO20" s="16">
        <f>ROUNDDOWN(AM20*AJ20+AN20,2)</f>
        <v>1.06</v>
      </c>
      <c r="AP20" s="17">
        <f t="shared" si="2"/>
        <v>0.93</v>
      </c>
    </row>
    <row r="21" spans="6:42">
      <c r="F21" s="63">
        <v>3.6</v>
      </c>
      <c r="O21" s="1" t="s">
        <v>63</v>
      </c>
      <c r="P21" s="1" t="s">
        <v>62</v>
      </c>
      <c r="Q21" s="18">
        <v>2010</v>
      </c>
      <c r="R21" s="18" t="str">
        <f t="shared" si="7"/>
        <v>吸収冷凍機冷房2010</v>
      </c>
      <c r="S21" s="13">
        <v>1.329</v>
      </c>
      <c r="U21" s="20">
        <v>1964</v>
      </c>
      <c r="V21" s="21">
        <v>1990</v>
      </c>
      <c r="W21" s="9"/>
      <c r="X21" s="29">
        <v>7</v>
      </c>
      <c r="Y21" s="29" t="s">
        <v>7</v>
      </c>
      <c r="Z21" s="29" t="s">
        <v>29</v>
      </c>
      <c r="AA21" s="61">
        <v>0.68600000000000005</v>
      </c>
      <c r="AB21" s="33">
        <v>0</v>
      </c>
      <c r="AC21" s="33" t="s">
        <v>205</v>
      </c>
      <c r="AE21" s="1">
        <v>2</v>
      </c>
      <c r="AF21" s="2" t="s">
        <v>6</v>
      </c>
      <c r="AG21" s="15" t="s">
        <v>0</v>
      </c>
      <c r="AH21" s="2" t="s">
        <v>125</v>
      </c>
      <c r="AI21" s="2" t="str">
        <f t="shared" si="1"/>
        <v>2冷房店舗導入予定設備</v>
      </c>
      <c r="AJ21" s="33">
        <v>0</v>
      </c>
      <c r="AK21" s="17">
        <v>0.96</v>
      </c>
      <c r="AL21" s="17">
        <v>1.07</v>
      </c>
      <c r="AM21" s="2">
        <v>-0.14000000000000001</v>
      </c>
      <c r="AN21" s="2">
        <v>1.1399999999999999</v>
      </c>
      <c r="AO21" s="16">
        <f t="shared" ref="AO21:AO23" si="8">ROUNDDOWN(AM21*AJ21+AN21,2)</f>
        <v>1.1399999999999999</v>
      </c>
      <c r="AP21" s="17">
        <f t="shared" si="2"/>
        <v>0.96</v>
      </c>
    </row>
    <row r="22" spans="6:42">
      <c r="O22" s="28" t="s">
        <v>105</v>
      </c>
      <c r="P22" s="28" t="s">
        <v>0</v>
      </c>
      <c r="Q22" s="18">
        <v>1990</v>
      </c>
      <c r="R22" s="18" t="str">
        <f t="shared" ref="R22:R24" si="9">O22&amp;P22&amp;Q22</f>
        <v>ジェネリンク(蒸気)冷房1990</v>
      </c>
      <c r="S22" s="13">
        <v>0.96</v>
      </c>
      <c r="U22" s="20">
        <v>1965</v>
      </c>
      <c r="V22" s="21">
        <v>1990</v>
      </c>
      <c r="X22" s="29">
        <v>8</v>
      </c>
      <c r="Y22" s="29" t="s">
        <v>6</v>
      </c>
      <c r="Z22" s="29" t="s">
        <v>30</v>
      </c>
      <c r="AA22" s="61">
        <v>0.69299999999999995</v>
      </c>
      <c r="AB22" s="33">
        <v>0</v>
      </c>
      <c r="AC22" s="33" t="s">
        <v>205</v>
      </c>
      <c r="AE22" s="1">
        <v>2</v>
      </c>
      <c r="AF22" s="2" t="s">
        <v>7</v>
      </c>
      <c r="AG22" s="15" t="s">
        <v>0</v>
      </c>
      <c r="AH22" s="2" t="s">
        <v>122</v>
      </c>
      <c r="AI22" s="2" t="str">
        <f t="shared" si="1"/>
        <v>2冷房事務所既存設備</v>
      </c>
      <c r="AJ22" s="33">
        <v>0</v>
      </c>
      <c r="AK22" s="17">
        <v>0.93</v>
      </c>
      <c r="AL22" s="17">
        <v>1.03</v>
      </c>
      <c r="AM22" s="2">
        <v>-0.06</v>
      </c>
      <c r="AN22" s="2">
        <v>1.06</v>
      </c>
      <c r="AO22" s="16">
        <f t="shared" si="8"/>
        <v>1.06</v>
      </c>
      <c r="AP22" s="17">
        <f t="shared" si="2"/>
        <v>0.93</v>
      </c>
    </row>
    <row r="23" spans="6:42">
      <c r="F23" s="27" t="s">
        <v>164</v>
      </c>
      <c r="O23" s="28" t="s">
        <v>105</v>
      </c>
      <c r="P23" s="28" t="s">
        <v>0</v>
      </c>
      <c r="Q23" s="18">
        <v>2000</v>
      </c>
      <c r="R23" s="18" t="str">
        <f t="shared" si="9"/>
        <v>ジェネリンク(蒸気)冷房2000</v>
      </c>
      <c r="S23" s="13">
        <v>1.0069999999999999</v>
      </c>
      <c r="U23" s="20">
        <v>1966</v>
      </c>
      <c r="V23" s="21">
        <v>1990</v>
      </c>
      <c r="X23" s="29">
        <v>8</v>
      </c>
      <c r="Y23" s="29" t="s">
        <v>7</v>
      </c>
      <c r="Z23" s="29" t="s">
        <v>31</v>
      </c>
      <c r="AA23" s="33">
        <v>0.76300000000000001</v>
      </c>
      <c r="AB23" s="33">
        <v>0</v>
      </c>
      <c r="AC23" s="33" t="s">
        <v>205</v>
      </c>
      <c r="AE23" s="1">
        <v>2</v>
      </c>
      <c r="AF23" s="2" t="s">
        <v>7</v>
      </c>
      <c r="AG23" s="15" t="s">
        <v>0</v>
      </c>
      <c r="AH23" s="2" t="s">
        <v>125</v>
      </c>
      <c r="AI23" s="2" t="str">
        <f t="shared" si="1"/>
        <v>2冷房事務所導入予定設備</v>
      </c>
      <c r="AJ23" s="33">
        <v>0</v>
      </c>
      <c r="AK23" s="17">
        <v>0.96</v>
      </c>
      <c r="AL23" s="17">
        <v>1.07</v>
      </c>
      <c r="AM23" s="2">
        <v>-0.14000000000000001</v>
      </c>
      <c r="AN23" s="2">
        <v>1.1399999999999999</v>
      </c>
      <c r="AO23" s="16">
        <f t="shared" si="8"/>
        <v>1.1399999999999999</v>
      </c>
      <c r="AP23" s="17">
        <f t="shared" si="2"/>
        <v>0.96</v>
      </c>
    </row>
    <row r="24" spans="6:42">
      <c r="F24" s="28">
        <v>9.9700000000000006</v>
      </c>
      <c r="O24" s="28" t="s">
        <v>105</v>
      </c>
      <c r="P24" s="28" t="s">
        <v>0</v>
      </c>
      <c r="Q24" s="18">
        <v>2010</v>
      </c>
      <c r="R24" s="18" t="str">
        <f t="shared" si="9"/>
        <v>ジェネリンク(蒸気)冷房2010</v>
      </c>
      <c r="S24" s="13">
        <v>1.1759999999999999</v>
      </c>
      <c r="U24" s="20">
        <v>1967</v>
      </c>
      <c r="V24" s="21">
        <v>1990</v>
      </c>
      <c r="X24" s="29">
        <v>9</v>
      </c>
      <c r="Y24" s="29" t="s">
        <v>6</v>
      </c>
      <c r="Z24" s="29" t="s">
        <v>32</v>
      </c>
      <c r="AA24" s="33">
        <v>0.47</v>
      </c>
      <c r="AB24" s="33">
        <v>0</v>
      </c>
      <c r="AC24" s="33" t="s">
        <v>205</v>
      </c>
      <c r="AE24" s="1">
        <v>3</v>
      </c>
      <c r="AF24" s="2" t="s">
        <v>6</v>
      </c>
      <c r="AG24" s="26" t="s">
        <v>1</v>
      </c>
      <c r="AH24" s="2" t="s">
        <v>122</v>
      </c>
      <c r="AI24" s="2" t="str">
        <f t="shared" ref="AI24:AI87" si="10">AE24&amp;AG24&amp;AF24&amp;AH24</f>
        <v>3暖房店舗既存設備</v>
      </c>
      <c r="AJ24" s="33">
        <v>0.27300000000000002</v>
      </c>
      <c r="AK24" s="17">
        <v>0.9</v>
      </c>
      <c r="AL24" s="17">
        <v>1</v>
      </c>
      <c r="AM24" s="2"/>
      <c r="AN24" s="2"/>
      <c r="AO24" s="17">
        <v>1</v>
      </c>
      <c r="AP24" s="17">
        <f t="shared" si="2"/>
        <v>0.9</v>
      </c>
    </row>
    <row r="25" spans="6:42">
      <c r="O25" s="28" t="s">
        <v>148</v>
      </c>
      <c r="P25" s="28" t="s">
        <v>1</v>
      </c>
      <c r="Q25" s="18">
        <v>1990</v>
      </c>
      <c r="R25" s="18" t="str">
        <f t="shared" ref="R25" si="11">O25&amp;P25&amp;Q25</f>
        <v>吸収冷温水機(ガス)暖房1990</v>
      </c>
      <c r="S25" s="13">
        <v>0.84</v>
      </c>
      <c r="U25" s="20">
        <v>1968</v>
      </c>
      <c r="V25" s="21">
        <v>1990</v>
      </c>
      <c r="X25" s="29">
        <v>9</v>
      </c>
      <c r="Y25" s="29" t="s">
        <v>7</v>
      </c>
      <c r="Z25" s="29" t="s">
        <v>33</v>
      </c>
      <c r="AA25" s="61">
        <v>0.50600000000000001</v>
      </c>
      <c r="AB25" s="33">
        <v>0</v>
      </c>
      <c r="AC25" s="33" t="s">
        <v>205</v>
      </c>
      <c r="AE25" s="1">
        <v>3</v>
      </c>
      <c r="AF25" s="2" t="s">
        <v>6</v>
      </c>
      <c r="AG25" s="26" t="s">
        <v>1</v>
      </c>
      <c r="AH25" s="2" t="s">
        <v>125</v>
      </c>
      <c r="AI25" s="2" t="str">
        <f t="shared" si="10"/>
        <v>3暖房店舗導入予定設備</v>
      </c>
      <c r="AJ25" s="33">
        <v>0.27300000000000002</v>
      </c>
      <c r="AK25" s="17">
        <v>0.9</v>
      </c>
      <c r="AL25" s="17">
        <v>1</v>
      </c>
      <c r="AM25" s="2"/>
      <c r="AN25" s="2"/>
      <c r="AO25" s="17">
        <v>1</v>
      </c>
      <c r="AP25" s="17">
        <f t="shared" si="2"/>
        <v>0.9</v>
      </c>
    </row>
    <row r="26" spans="6:42">
      <c r="O26" s="28" t="s">
        <v>148</v>
      </c>
      <c r="P26" s="28" t="s">
        <v>1</v>
      </c>
      <c r="Q26" s="18">
        <v>2000</v>
      </c>
      <c r="R26" s="18" t="str">
        <f>O26&amp;P26&amp;Q26</f>
        <v>吸収冷温水機(ガス)暖房2000</v>
      </c>
      <c r="S26" s="13">
        <v>0.84</v>
      </c>
      <c r="U26" s="20">
        <v>1969</v>
      </c>
      <c r="V26" s="21">
        <v>1990</v>
      </c>
      <c r="X26" s="29">
        <v>10</v>
      </c>
      <c r="Y26" s="29" t="s">
        <v>6</v>
      </c>
      <c r="Z26" s="29" t="s">
        <v>34</v>
      </c>
      <c r="AA26" s="61">
        <v>0.36399999999999999</v>
      </c>
      <c r="AB26" s="33">
        <v>0</v>
      </c>
      <c r="AC26" s="33" t="s">
        <v>205</v>
      </c>
      <c r="AE26" s="1">
        <v>3</v>
      </c>
      <c r="AF26" s="2" t="s">
        <v>7</v>
      </c>
      <c r="AG26" s="26" t="s">
        <v>1</v>
      </c>
      <c r="AH26" s="2" t="s">
        <v>122</v>
      </c>
      <c r="AI26" s="2" t="str">
        <f t="shared" si="10"/>
        <v>3暖房事務所既存設備</v>
      </c>
      <c r="AJ26" s="33">
        <v>0.40100000000000002</v>
      </c>
      <c r="AK26" s="17">
        <v>0.9</v>
      </c>
      <c r="AL26" s="17">
        <v>1</v>
      </c>
      <c r="AM26" s="2"/>
      <c r="AN26" s="2"/>
      <c r="AO26" s="17">
        <v>1</v>
      </c>
      <c r="AP26" s="17">
        <f t="shared" si="2"/>
        <v>1</v>
      </c>
    </row>
    <row r="27" spans="6:42">
      <c r="F27" s="74" t="s">
        <v>178</v>
      </c>
      <c r="G27" s="74" t="s">
        <v>179</v>
      </c>
      <c r="O27" s="28" t="s">
        <v>148</v>
      </c>
      <c r="P27" s="28" t="s">
        <v>1</v>
      </c>
      <c r="Q27" s="18">
        <v>2010</v>
      </c>
      <c r="R27" s="18" t="str">
        <f>O27&amp;P27&amp;Q27</f>
        <v>吸収冷温水機(ガス)暖房2010</v>
      </c>
      <c r="S27" s="13">
        <v>0.87</v>
      </c>
      <c r="U27" s="20">
        <v>1970</v>
      </c>
      <c r="V27" s="21">
        <v>1990</v>
      </c>
      <c r="X27" s="29">
        <v>10</v>
      </c>
      <c r="Y27" s="29" t="s">
        <v>7</v>
      </c>
      <c r="Z27" s="29" t="s">
        <v>35</v>
      </c>
      <c r="AA27" s="61">
        <v>6.0999999999999999E-2</v>
      </c>
      <c r="AB27" s="33">
        <v>0</v>
      </c>
      <c r="AC27" s="33" t="s">
        <v>205</v>
      </c>
      <c r="AE27" s="1">
        <v>3</v>
      </c>
      <c r="AF27" s="2" t="s">
        <v>7</v>
      </c>
      <c r="AG27" s="26" t="s">
        <v>1</v>
      </c>
      <c r="AH27" s="2" t="s">
        <v>125</v>
      </c>
      <c r="AI27" s="2" t="str">
        <f t="shared" si="10"/>
        <v>3暖房事務所導入予定設備</v>
      </c>
      <c r="AJ27" s="33">
        <v>0.40100000000000002</v>
      </c>
      <c r="AK27" s="17">
        <v>0.9</v>
      </c>
      <c r="AL27" s="17">
        <v>1</v>
      </c>
      <c r="AM27" s="2"/>
      <c r="AN27" s="2"/>
      <c r="AO27" s="17">
        <v>1</v>
      </c>
      <c r="AP27" s="17">
        <f t="shared" si="2"/>
        <v>1</v>
      </c>
    </row>
    <row r="28" spans="6:42">
      <c r="F28" s="74" t="s">
        <v>55</v>
      </c>
      <c r="G28" s="74">
        <v>45</v>
      </c>
      <c r="O28" s="28" t="s">
        <v>141</v>
      </c>
      <c r="P28" s="28" t="s">
        <v>1</v>
      </c>
      <c r="Q28" s="18">
        <v>1990</v>
      </c>
      <c r="R28" s="18" t="str">
        <f>O28&amp;P28&amp;Q28</f>
        <v>ジェネリンク(ガス)暖房1990</v>
      </c>
      <c r="S28" s="13">
        <v>0.84</v>
      </c>
      <c r="U28" s="20">
        <v>1971</v>
      </c>
      <c r="V28" s="21">
        <v>1990</v>
      </c>
      <c r="X28" s="29">
        <v>11</v>
      </c>
      <c r="Y28" s="29" t="s">
        <v>6</v>
      </c>
      <c r="Z28" s="29" t="s">
        <v>36</v>
      </c>
      <c r="AA28" s="33">
        <v>0</v>
      </c>
      <c r="AB28" s="61">
        <v>0.154</v>
      </c>
      <c r="AC28" s="33" t="s">
        <v>204</v>
      </c>
      <c r="AE28" s="1">
        <v>3</v>
      </c>
      <c r="AF28" s="2" t="s">
        <v>6</v>
      </c>
      <c r="AG28" s="15" t="s">
        <v>0</v>
      </c>
      <c r="AH28" s="2" t="s">
        <v>122</v>
      </c>
      <c r="AI28" s="2" t="str">
        <f t="shared" si="10"/>
        <v>3冷房店舗既存設備</v>
      </c>
      <c r="AJ28" s="33">
        <v>0</v>
      </c>
      <c r="AK28" s="17">
        <v>0.93</v>
      </c>
      <c r="AL28" s="17">
        <v>1.03</v>
      </c>
      <c r="AM28" s="2">
        <v>-0.06</v>
      </c>
      <c r="AN28" s="2">
        <v>1.06</v>
      </c>
      <c r="AO28" s="16">
        <f t="shared" ref="AO28:AO31" si="12">ROUNDDOWN(AM28*AJ28+AN28,2)</f>
        <v>1.06</v>
      </c>
      <c r="AP28" s="17">
        <f t="shared" si="2"/>
        <v>0.93</v>
      </c>
    </row>
    <row r="29" spans="6:42">
      <c r="F29" s="74" t="s">
        <v>70</v>
      </c>
      <c r="G29" s="74">
        <v>100</v>
      </c>
      <c r="O29" s="28" t="s">
        <v>141</v>
      </c>
      <c r="P29" s="28" t="s">
        <v>1</v>
      </c>
      <c r="Q29" s="18">
        <v>2000</v>
      </c>
      <c r="R29" s="18" t="str">
        <f>O29&amp;P29&amp;Q29</f>
        <v>ジェネリンク(ガス)暖房2000</v>
      </c>
      <c r="S29" s="13">
        <v>0.84</v>
      </c>
      <c r="U29" s="20">
        <v>1972</v>
      </c>
      <c r="V29" s="21">
        <v>1990</v>
      </c>
      <c r="X29" s="29">
        <v>11</v>
      </c>
      <c r="Y29" s="29" t="s">
        <v>7</v>
      </c>
      <c r="Z29" s="29" t="s">
        <v>37</v>
      </c>
      <c r="AA29" s="33">
        <v>0</v>
      </c>
      <c r="AB29" s="33">
        <v>0.20599999999999999</v>
      </c>
      <c r="AC29" s="33" t="s">
        <v>204</v>
      </c>
      <c r="AE29" s="1">
        <v>3</v>
      </c>
      <c r="AF29" s="2" t="s">
        <v>6</v>
      </c>
      <c r="AG29" s="15" t="s">
        <v>0</v>
      </c>
      <c r="AH29" s="2" t="s">
        <v>125</v>
      </c>
      <c r="AI29" s="2" t="str">
        <f t="shared" si="10"/>
        <v>3冷房店舗導入予定設備</v>
      </c>
      <c r="AJ29" s="33">
        <v>0</v>
      </c>
      <c r="AK29" s="17">
        <v>0.96</v>
      </c>
      <c r="AL29" s="17">
        <v>1.07</v>
      </c>
      <c r="AM29" s="2">
        <v>-0.14000000000000001</v>
      </c>
      <c r="AN29" s="2">
        <v>1.1399999999999999</v>
      </c>
      <c r="AO29" s="16">
        <f t="shared" si="12"/>
        <v>1.1399999999999999</v>
      </c>
      <c r="AP29" s="17">
        <f t="shared" si="2"/>
        <v>0.96</v>
      </c>
    </row>
    <row r="30" spans="6:42">
      <c r="F30" s="74" t="s">
        <v>71</v>
      </c>
      <c r="G30" s="74">
        <v>63</v>
      </c>
      <c r="O30" s="28" t="s">
        <v>141</v>
      </c>
      <c r="P30" s="28" t="s">
        <v>1</v>
      </c>
      <c r="Q30" s="18">
        <v>2010</v>
      </c>
      <c r="R30" s="18" t="str">
        <f>O30&amp;P30&amp;Q30</f>
        <v>ジェネリンク(ガス)暖房2010</v>
      </c>
      <c r="S30" s="13">
        <v>0.87</v>
      </c>
      <c r="U30" s="20">
        <v>1973</v>
      </c>
      <c r="V30" s="21">
        <v>1990</v>
      </c>
      <c r="X30" s="29">
        <v>12</v>
      </c>
      <c r="Y30" s="29" t="s">
        <v>6</v>
      </c>
      <c r="Z30" s="29" t="s">
        <v>38</v>
      </c>
      <c r="AA30" s="33">
        <v>0</v>
      </c>
      <c r="AB30" s="33">
        <v>0.371</v>
      </c>
      <c r="AC30" s="33" t="s">
        <v>204</v>
      </c>
      <c r="AE30" s="1">
        <v>3</v>
      </c>
      <c r="AF30" s="2" t="s">
        <v>7</v>
      </c>
      <c r="AG30" s="15" t="s">
        <v>0</v>
      </c>
      <c r="AH30" s="2" t="s">
        <v>122</v>
      </c>
      <c r="AI30" s="2" t="str">
        <f t="shared" si="10"/>
        <v>3冷房事務所既存設備</v>
      </c>
      <c r="AJ30" s="33">
        <v>0</v>
      </c>
      <c r="AK30" s="17">
        <v>0.93</v>
      </c>
      <c r="AL30" s="17">
        <v>1.03</v>
      </c>
      <c r="AM30" s="2">
        <v>-0.06</v>
      </c>
      <c r="AN30" s="2">
        <v>1.06</v>
      </c>
      <c r="AO30" s="16">
        <f t="shared" si="12"/>
        <v>1.06</v>
      </c>
      <c r="AP30" s="17">
        <f t="shared" si="2"/>
        <v>0.93</v>
      </c>
    </row>
    <row r="31" spans="6:42">
      <c r="F31" s="74" t="s">
        <v>72</v>
      </c>
      <c r="G31" s="74">
        <v>21</v>
      </c>
      <c r="O31" s="28" t="s">
        <v>149</v>
      </c>
      <c r="P31" s="28" t="s">
        <v>1</v>
      </c>
      <c r="Q31" s="18">
        <v>1990</v>
      </c>
      <c r="R31" s="18" t="str">
        <f t="shared" ref="R31" si="13">O31&amp;P31&amp;Q31</f>
        <v>吸収冷温水機(油)暖房1990</v>
      </c>
      <c r="S31" s="13">
        <v>0.84</v>
      </c>
      <c r="U31" s="20">
        <v>1974</v>
      </c>
      <c r="V31" s="21">
        <v>1990</v>
      </c>
      <c r="X31" s="29">
        <v>12</v>
      </c>
      <c r="Y31" s="29" t="s">
        <v>7</v>
      </c>
      <c r="Z31" s="29" t="s">
        <v>39</v>
      </c>
      <c r="AA31" s="33">
        <v>0</v>
      </c>
      <c r="AB31" s="33">
        <v>0.48599999999999999</v>
      </c>
      <c r="AC31" s="33" t="s">
        <v>204</v>
      </c>
      <c r="AE31" s="1">
        <v>3</v>
      </c>
      <c r="AF31" s="2" t="s">
        <v>7</v>
      </c>
      <c r="AG31" s="15" t="s">
        <v>0</v>
      </c>
      <c r="AH31" s="2" t="s">
        <v>125</v>
      </c>
      <c r="AI31" s="2" t="str">
        <f t="shared" si="10"/>
        <v>3冷房事務所導入予定設備</v>
      </c>
      <c r="AJ31" s="33">
        <v>0</v>
      </c>
      <c r="AK31" s="17">
        <v>0.96</v>
      </c>
      <c r="AL31" s="17">
        <v>1.07</v>
      </c>
      <c r="AM31" s="2">
        <v>-0.14000000000000001</v>
      </c>
      <c r="AN31" s="2">
        <v>1.1399999999999999</v>
      </c>
      <c r="AO31" s="16">
        <f t="shared" si="12"/>
        <v>1.1399999999999999</v>
      </c>
      <c r="AP31" s="17">
        <f t="shared" si="2"/>
        <v>0.96</v>
      </c>
    </row>
    <row r="32" spans="6:42">
      <c r="F32" s="74" t="s">
        <v>168</v>
      </c>
      <c r="G32" s="24" t="s">
        <v>79</v>
      </c>
      <c r="O32" s="28" t="s">
        <v>149</v>
      </c>
      <c r="P32" s="28" t="s">
        <v>1</v>
      </c>
      <c r="Q32" s="18">
        <v>2000</v>
      </c>
      <c r="R32" s="18" t="str">
        <f t="shared" ref="R32:R39" si="14">O32&amp;P32&amp;Q32</f>
        <v>吸収冷温水機(油)暖房2000</v>
      </c>
      <c r="S32" s="13">
        <v>0.84</v>
      </c>
      <c r="U32" s="20">
        <v>1975</v>
      </c>
      <c r="V32" s="21">
        <v>1990</v>
      </c>
      <c r="X32" s="29">
        <v>1</v>
      </c>
      <c r="Y32" s="29" t="s">
        <v>206</v>
      </c>
      <c r="Z32" s="29" t="s">
        <v>207</v>
      </c>
      <c r="AA32" s="74" t="s">
        <v>219</v>
      </c>
      <c r="AB32" s="74" t="s">
        <v>219</v>
      </c>
      <c r="AC32" s="74" t="s">
        <v>219</v>
      </c>
      <c r="AE32" s="1">
        <v>4</v>
      </c>
      <c r="AF32" s="2" t="s">
        <v>6</v>
      </c>
      <c r="AG32" s="26" t="s">
        <v>1</v>
      </c>
      <c r="AH32" s="2" t="s">
        <v>122</v>
      </c>
      <c r="AI32" s="2" t="str">
        <f t="shared" si="10"/>
        <v>4暖房店舗既存設備</v>
      </c>
      <c r="AJ32" s="33">
        <v>0.16</v>
      </c>
      <c r="AK32" s="17">
        <v>0.9</v>
      </c>
      <c r="AL32" s="17">
        <v>1</v>
      </c>
      <c r="AM32" s="2"/>
      <c r="AN32" s="2"/>
      <c r="AO32" s="17">
        <v>1</v>
      </c>
      <c r="AP32" s="17">
        <f t="shared" si="2"/>
        <v>0.9</v>
      </c>
    </row>
    <row r="33" spans="15:42">
      <c r="O33" s="28" t="s">
        <v>149</v>
      </c>
      <c r="P33" s="28" t="s">
        <v>1</v>
      </c>
      <c r="Q33" s="18">
        <v>2010</v>
      </c>
      <c r="R33" s="18" t="str">
        <f t="shared" si="14"/>
        <v>吸収冷温水機(油)暖房2010</v>
      </c>
      <c r="S33" s="13">
        <v>0.87</v>
      </c>
      <c r="U33" s="20">
        <v>1976</v>
      </c>
      <c r="V33" s="21">
        <v>1990</v>
      </c>
      <c r="X33" s="29">
        <v>2</v>
      </c>
      <c r="Y33" s="29" t="s">
        <v>206</v>
      </c>
      <c r="Z33" s="29" t="s">
        <v>208</v>
      </c>
      <c r="AA33" s="13" t="s">
        <v>219</v>
      </c>
      <c r="AB33" s="13" t="s">
        <v>219</v>
      </c>
      <c r="AC33" s="13" t="s">
        <v>219</v>
      </c>
      <c r="AE33" s="1">
        <v>4</v>
      </c>
      <c r="AF33" s="2" t="s">
        <v>6</v>
      </c>
      <c r="AG33" s="26" t="s">
        <v>1</v>
      </c>
      <c r="AH33" s="2" t="s">
        <v>125</v>
      </c>
      <c r="AI33" s="2" t="str">
        <f t="shared" si="10"/>
        <v>4暖房店舗導入予定設備</v>
      </c>
      <c r="AJ33" s="33">
        <v>0.16</v>
      </c>
      <c r="AK33" s="17">
        <v>0.9</v>
      </c>
      <c r="AL33" s="17">
        <v>1</v>
      </c>
      <c r="AM33" s="2"/>
      <c r="AN33" s="2"/>
      <c r="AO33" s="17">
        <v>1</v>
      </c>
      <c r="AP33" s="17">
        <f t="shared" si="2"/>
        <v>0.9</v>
      </c>
    </row>
    <row r="34" spans="15:42">
      <c r="O34" s="28" t="s">
        <v>142</v>
      </c>
      <c r="P34" s="28" t="s">
        <v>1</v>
      </c>
      <c r="Q34" s="18">
        <v>1990</v>
      </c>
      <c r="R34" s="18" t="str">
        <f t="shared" si="14"/>
        <v>ジェネリンク(油)暖房1990</v>
      </c>
      <c r="S34" s="13">
        <v>0.84</v>
      </c>
      <c r="U34" s="20">
        <v>1977</v>
      </c>
      <c r="V34" s="21">
        <v>1990</v>
      </c>
      <c r="X34" s="29">
        <v>3</v>
      </c>
      <c r="Y34" s="29" t="s">
        <v>206</v>
      </c>
      <c r="Z34" s="29" t="s">
        <v>209</v>
      </c>
      <c r="AA34" s="13" t="s">
        <v>219</v>
      </c>
      <c r="AB34" s="13" t="s">
        <v>219</v>
      </c>
      <c r="AC34" s="13" t="s">
        <v>219</v>
      </c>
      <c r="AE34" s="1">
        <v>4</v>
      </c>
      <c r="AF34" s="2" t="s">
        <v>7</v>
      </c>
      <c r="AG34" s="26" t="s">
        <v>1</v>
      </c>
      <c r="AH34" s="2" t="s">
        <v>122</v>
      </c>
      <c r="AI34" s="2" t="str">
        <f t="shared" si="10"/>
        <v>4暖房事務所既存設備</v>
      </c>
      <c r="AJ34" s="33">
        <v>0.11</v>
      </c>
      <c r="AK34" s="17">
        <v>0.9</v>
      </c>
      <c r="AL34" s="17">
        <v>1</v>
      </c>
      <c r="AM34" s="2"/>
      <c r="AN34" s="2"/>
      <c r="AO34" s="17">
        <v>1</v>
      </c>
      <c r="AP34" s="17">
        <f t="shared" si="2"/>
        <v>0.9</v>
      </c>
    </row>
    <row r="35" spans="15:42">
      <c r="O35" s="28" t="s">
        <v>142</v>
      </c>
      <c r="P35" s="28" t="s">
        <v>1</v>
      </c>
      <c r="Q35" s="18">
        <v>2000</v>
      </c>
      <c r="R35" s="18" t="str">
        <f t="shared" si="14"/>
        <v>ジェネリンク(油)暖房2000</v>
      </c>
      <c r="S35" s="13">
        <v>0.84</v>
      </c>
      <c r="U35" s="20">
        <v>1978</v>
      </c>
      <c r="V35" s="21">
        <v>1990</v>
      </c>
      <c r="X35" s="29">
        <v>4</v>
      </c>
      <c r="Y35" s="29" t="s">
        <v>206</v>
      </c>
      <c r="Z35" s="29" t="s">
        <v>210</v>
      </c>
      <c r="AA35" s="13" t="s">
        <v>219</v>
      </c>
      <c r="AB35" s="13" t="s">
        <v>219</v>
      </c>
      <c r="AC35" s="13" t="s">
        <v>219</v>
      </c>
      <c r="AE35" s="1">
        <v>4</v>
      </c>
      <c r="AF35" s="2" t="s">
        <v>7</v>
      </c>
      <c r="AG35" s="26" t="s">
        <v>1</v>
      </c>
      <c r="AH35" s="2" t="s">
        <v>125</v>
      </c>
      <c r="AI35" s="2" t="str">
        <f t="shared" si="10"/>
        <v>4暖房事務所導入予定設備</v>
      </c>
      <c r="AJ35" s="33">
        <v>0.11</v>
      </c>
      <c r="AK35" s="17">
        <v>0.9</v>
      </c>
      <c r="AL35" s="17">
        <v>1</v>
      </c>
      <c r="AM35" s="2"/>
      <c r="AN35" s="2"/>
      <c r="AO35" s="17">
        <v>1</v>
      </c>
      <c r="AP35" s="17">
        <f t="shared" si="2"/>
        <v>0.9</v>
      </c>
    </row>
    <row r="36" spans="15:42">
      <c r="O36" s="28" t="s">
        <v>142</v>
      </c>
      <c r="P36" s="28" t="s">
        <v>1</v>
      </c>
      <c r="Q36" s="18">
        <v>2010</v>
      </c>
      <c r="R36" s="18" t="str">
        <f t="shared" si="14"/>
        <v>ジェネリンク(油)暖房2010</v>
      </c>
      <c r="S36" s="13">
        <v>0.87</v>
      </c>
      <c r="U36" s="20">
        <v>1979</v>
      </c>
      <c r="V36" s="21">
        <v>1990</v>
      </c>
      <c r="X36" s="29">
        <v>5</v>
      </c>
      <c r="Y36" s="29" t="s">
        <v>206</v>
      </c>
      <c r="Z36" s="29" t="s">
        <v>211</v>
      </c>
      <c r="AA36" s="13" t="s">
        <v>219</v>
      </c>
      <c r="AB36" s="13" t="s">
        <v>219</v>
      </c>
      <c r="AC36" s="13" t="s">
        <v>219</v>
      </c>
      <c r="AE36" s="1">
        <v>4</v>
      </c>
      <c r="AF36" s="2" t="s">
        <v>6</v>
      </c>
      <c r="AG36" s="15" t="s">
        <v>0</v>
      </c>
      <c r="AH36" s="2" t="s">
        <v>122</v>
      </c>
      <c r="AI36" s="2" t="str">
        <f t="shared" si="10"/>
        <v>4冷房店舗既存設備</v>
      </c>
      <c r="AJ36" s="33">
        <v>0</v>
      </c>
      <c r="AK36" s="17">
        <v>0.93</v>
      </c>
      <c r="AL36" s="17">
        <v>1.03</v>
      </c>
      <c r="AM36" s="2">
        <v>-0.06</v>
      </c>
      <c r="AN36" s="2">
        <v>1.06</v>
      </c>
      <c r="AO36" s="16">
        <f t="shared" ref="AO36:AO39" si="15">ROUNDDOWN(AM36*AJ36+AN36,2)</f>
        <v>1.06</v>
      </c>
      <c r="AP36" s="17">
        <f t="shared" si="2"/>
        <v>0.93</v>
      </c>
    </row>
    <row r="37" spans="15:42">
      <c r="O37" s="28" t="s">
        <v>105</v>
      </c>
      <c r="P37" s="28" t="s">
        <v>1</v>
      </c>
      <c r="Q37" s="18">
        <v>1990</v>
      </c>
      <c r="R37" s="18" t="str">
        <f t="shared" si="14"/>
        <v>ジェネリンク(蒸気)暖房1990</v>
      </c>
      <c r="S37" s="13">
        <v>0.84</v>
      </c>
      <c r="U37" s="20">
        <v>1980</v>
      </c>
      <c r="V37" s="21">
        <v>1990</v>
      </c>
      <c r="X37" s="29">
        <v>6</v>
      </c>
      <c r="Y37" s="29" t="s">
        <v>206</v>
      </c>
      <c r="Z37" s="29" t="s">
        <v>212</v>
      </c>
      <c r="AA37" s="13" t="s">
        <v>219</v>
      </c>
      <c r="AB37" s="13" t="s">
        <v>219</v>
      </c>
      <c r="AC37" s="13" t="s">
        <v>219</v>
      </c>
      <c r="AE37" s="1">
        <v>4</v>
      </c>
      <c r="AF37" s="2" t="s">
        <v>6</v>
      </c>
      <c r="AG37" s="15" t="s">
        <v>0</v>
      </c>
      <c r="AH37" s="2" t="s">
        <v>125</v>
      </c>
      <c r="AI37" s="2" t="str">
        <f t="shared" si="10"/>
        <v>4冷房店舗導入予定設備</v>
      </c>
      <c r="AJ37" s="33">
        <v>0</v>
      </c>
      <c r="AK37" s="17">
        <v>0.96</v>
      </c>
      <c r="AL37" s="17">
        <v>1.07</v>
      </c>
      <c r="AM37" s="2">
        <v>-0.14000000000000001</v>
      </c>
      <c r="AN37" s="2">
        <v>1.1399999999999999</v>
      </c>
      <c r="AO37" s="16">
        <f t="shared" si="15"/>
        <v>1.1399999999999999</v>
      </c>
      <c r="AP37" s="17">
        <f t="shared" si="2"/>
        <v>0.96</v>
      </c>
    </row>
    <row r="38" spans="15:42">
      <c r="O38" s="28" t="s">
        <v>105</v>
      </c>
      <c r="P38" s="28" t="s">
        <v>1</v>
      </c>
      <c r="Q38" s="18">
        <v>2000</v>
      </c>
      <c r="R38" s="18" t="str">
        <f t="shared" si="14"/>
        <v>ジェネリンク(蒸気)暖房2000</v>
      </c>
      <c r="S38" s="13">
        <v>0.84</v>
      </c>
      <c r="U38" s="20">
        <v>1981</v>
      </c>
      <c r="V38" s="21">
        <v>1990</v>
      </c>
      <c r="X38" s="29">
        <v>7</v>
      </c>
      <c r="Y38" s="29" t="s">
        <v>206</v>
      </c>
      <c r="Z38" s="29" t="s">
        <v>213</v>
      </c>
      <c r="AA38" s="13" t="s">
        <v>219</v>
      </c>
      <c r="AB38" s="13" t="s">
        <v>219</v>
      </c>
      <c r="AC38" s="13" t="s">
        <v>219</v>
      </c>
      <c r="AE38" s="1">
        <v>4</v>
      </c>
      <c r="AF38" s="2" t="s">
        <v>7</v>
      </c>
      <c r="AG38" s="15" t="s">
        <v>0</v>
      </c>
      <c r="AH38" s="2" t="s">
        <v>122</v>
      </c>
      <c r="AI38" s="2" t="str">
        <f t="shared" si="10"/>
        <v>4冷房事務所既存設備</v>
      </c>
      <c r="AJ38" s="33">
        <v>0</v>
      </c>
      <c r="AK38" s="17">
        <v>0.93</v>
      </c>
      <c r="AL38" s="17">
        <v>1.03</v>
      </c>
      <c r="AM38" s="2">
        <v>-0.06</v>
      </c>
      <c r="AN38" s="2">
        <v>1.06</v>
      </c>
      <c r="AO38" s="16">
        <f t="shared" si="15"/>
        <v>1.06</v>
      </c>
      <c r="AP38" s="17">
        <f t="shared" si="2"/>
        <v>0.93</v>
      </c>
    </row>
    <row r="39" spans="15:42">
      <c r="O39" s="28" t="s">
        <v>105</v>
      </c>
      <c r="P39" s="28" t="s">
        <v>1</v>
      </c>
      <c r="Q39" s="18">
        <v>2010</v>
      </c>
      <c r="R39" s="18" t="str">
        <f t="shared" si="14"/>
        <v>ジェネリンク(蒸気)暖房2010</v>
      </c>
      <c r="S39" s="13">
        <v>0.87</v>
      </c>
      <c r="U39" s="20">
        <v>1982</v>
      </c>
      <c r="V39" s="21">
        <v>1990</v>
      </c>
      <c r="X39" s="29">
        <v>8</v>
      </c>
      <c r="Y39" s="29" t="s">
        <v>206</v>
      </c>
      <c r="Z39" s="29" t="s">
        <v>214</v>
      </c>
      <c r="AA39" s="13" t="s">
        <v>219</v>
      </c>
      <c r="AB39" s="13" t="s">
        <v>219</v>
      </c>
      <c r="AC39" s="13" t="s">
        <v>219</v>
      </c>
      <c r="AE39" s="1">
        <v>4</v>
      </c>
      <c r="AF39" s="2" t="s">
        <v>7</v>
      </c>
      <c r="AG39" s="15" t="s">
        <v>0</v>
      </c>
      <c r="AH39" s="2" t="s">
        <v>125</v>
      </c>
      <c r="AI39" s="2" t="str">
        <f t="shared" si="10"/>
        <v>4冷房事務所導入予定設備</v>
      </c>
      <c r="AJ39" s="33">
        <v>0</v>
      </c>
      <c r="AK39" s="17">
        <v>0.96</v>
      </c>
      <c r="AL39" s="17">
        <v>1.07</v>
      </c>
      <c r="AM39" s="2">
        <v>-0.14000000000000001</v>
      </c>
      <c r="AN39" s="2">
        <v>1.1399999999999999</v>
      </c>
      <c r="AO39" s="16">
        <f t="shared" si="15"/>
        <v>1.1399999999999999</v>
      </c>
      <c r="AP39" s="17">
        <f t="shared" si="2"/>
        <v>0.96</v>
      </c>
    </row>
    <row r="40" spans="15:42">
      <c r="U40" s="20">
        <v>1983</v>
      </c>
      <c r="V40" s="21">
        <v>1990</v>
      </c>
      <c r="X40" s="29">
        <v>9</v>
      </c>
      <c r="Y40" s="29" t="s">
        <v>206</v>
      </c>
      <c r="Z40" s="29" t="s">
        <v>215</v>
      </c>
      <c r="AA40" s="13" t="s">
        <v>219</v>
      </c>
      <c r="AB40" s="13" t="s">
        <v>219</v>
      </c>
      <c r="AC40" s="13" t="s">
        <v>219</v>
      </c>
      <c r="AE40" s="1">
        <v>5</v>
      </c>
      <c r="AF40" s="2" t="s">
        <v>6</v>
      </c>
      <c r="AG40" s="26" t="s">
        <v>1</v>
      </c>
      <c r="AH40" s="2" t="s">
        <v>122</v>
      </c>
      <c r="AI40" s="2" t="str">
        <f t="shared" si="10"/>
        <v>5暖房店舗既存設備</v>
      </c>
      <c r="AJ40" s="33">
        <v>0</v>
      </c>
      <c r="AK40" s="17">
        <v>0.9</v>
      </c>
      <c r="AL40" s="17">
        <v>1</v>
      </c>
      <c r="AM40" s="2"/>
      <c r="AN40" s="2"/>
      <c r="AO40" s="17">
        <v>1</v>
      </c>
      <c r="AP40" s="17">
        <f t="shared" si="2"/>
        <v>0.9</v>
      </c>
    </row>
    <row r="41" spans="15:42">
      <c r="U41" s="20">
        <v>1984</v>
      </c>
      <c r="V41" s="21">
        <v>1990</v>
      </c>
      <c r="X41" s="29">
        <v>10</v>
      </c>
      <c r="Y41" s="29" t="s">
        <v>206</v>
      </c>
      <c r="Z41" s="29" t="s">
        <v>216</v>
      </c>
      <c r="AA41" s="13" t="s">
        <v>219</v>
      </c>
      <c r="AB41" s="13" t="s">
        <v>219</v>
      </c>
      <c r="AC41" s="13" t="s">
        <v>219</v>
      </c>
      <c r="AE41" s="1">
        <v>5</v>
      </c>
      <c r="AF41" s="2" t="s">
        <v>6</v>
      </c>
      <c r="AG41" s="26" t="s">
        <v>1</v>
      </c>
      <c r="AH41" s="2" t="s">
        <v>125</v>
      </c>
      <c r="AI41" s="2" t="str">
        <f t="shared" si="10"/>
        <v>5暖房店舗導入予定設備</v>
      </c>
      <c r="AJ41" s="33">
        <v>0</v>
      </c>
      <c r="AK41" s="17">
        <v>0.9</v>
      </c>
      <c r="AL41" s="17">
        <v>1</v>
      </c>
      <c r="AM41" s="2"/>
      <c r="AN41" s="2"/>
      <c r="AO41" s="17">
        <v>1</v>
      </c>
      <c r="AP41" s="17">
        <f t="shared" si="2"/>
        <v>0.9</v>
      </c>
    </row>
    <row r="42" spans="15:42">
      <c r="U42" s="20">
        <v>1985</v>
      </c>
      <c r="V42" s="21">
        <v>1990</v>
      </c>
      <c r="X42" s="29">
        <v>11</v>
      </c>
      <c r="Y42" s="29" t="s">
        <v>206</v>
      </c>
      <c r="Z42" s="29" t="s">
        <v>217</v>
      </c>
      <c r="AA42" s="13" t="s">
        <v>219</v>
      </c>
      <c r="AB42" s="13" t="s">
        <v>219</v>
      </c>
      <c r="AC42" s="13" t="s">
        <v>219</v>
      </c>
      <c r="AE42" s="1">
        <v>5</v>
      </c>
      <c r="AF42" s="2" t="s">
        <v>7</v>
      </c>
      <c r="AG42" s="26" t="s">
        <v>1</v>
      </c>
      <c r="AH42" s="2" t="s">
        <v>122</v>
      </c>
      <c r="AI42" s="2" t="str">
        <f t="shared" si="10"/>
        <v>5暖房事務所既存設備</v>
      </c>
      <c r="AJ42" s="33">
        <v>0</v>
      </c>
      <c r="AK42" s="17">
        <v>0.9</v>
      </c>
      <c r="AL42" s="17">
        <v>1</v>
      </c>
      <c r="AM42" s="2"/>
      <c r="AN42" s="2"/>
      <c r="AO42" s="17">
        <v>1</v>
      </c>
      <c r="AP42" s="17">
        <f t="shared" si="2"/>
        <v>0.9</v>
      </c>
    </row>
    <row r="43" spans="15:42">
      <c r="U43" s="20">
        <v>1986</v>
      </c>
      <c r="V43" s="21">
        <v>1990</v>
      </c>
      <c r="X43" s="29">
        <v>12</v>
      </c>
      <c r="Y43" s="29" t="s">
        <v>206</v>
      </c>
      <c r="Z43" s="29" t="s">
        <v>218</v>
      </c>
      <c r="AA43" s="13" t="s">
        <v>219</v>
      </c>
      <c r="AB43" s="13" t="s">
        <v>219</v>
      </c>
      <c r="AC43" s="13" t="s">
        <v>219</v>
      </c>
      <c r="AE43" s="1">
        <v>5</v>
      </c>
      <c r="AF43" s="2" t="s">
        <v>7</v>
      </c>
      <c r="AG43" s="26" t="s">
        <v>1</v>
      </c>
      <c r="AH43" s="2" t="s">
        <v>125</v>
      </c>
      <c r="AI43" s="2" t="str">
        <f t="shared" si="10"/>
        <v>5暖房事務所導入予定設備</v>
      </c>
      <c r="AJ43" s="33">
        <v>0</v>
      </c>
      <c r="AK43" s="17">
        <v>0.9</v>
      </c>
      <c r="AL43" s="17">
        <v>1</v>
      </c>
      <c r="AM43" s="2"/>
      <c r="AN43" s="2"/>
      <c r="AO43" s="17">
        <v>1</v>
      </c>
      <c r="AP43" s="17">
        <f t="shared" si="2"/>
        <v>0.9</v>
      </c>
    </row>
    <row r="44" spans="15:42">
      <c r="U44" s="20">
        <v>1987</v>
      </c>
      <c r="V44" s="21">
        <v>1990</v>
      </c>
      <c r="AA44" s="60"/>
      <c r="AB44" s="60"/>
      <c r="AC44" s="60"/>
      <c r="AE44" s="1">
        <v>5</v>
      </c>
      <c r="AF44" s="2" t="s">
        <v>6</v>
      </c>
      <c r="AG44" s="15" t="s">
        <v>0</v>
      </c>
      <c r="AH44" s="2" t="s">
        <v>122</v>
      </c>
      <c r="AI44" s="2" t="str">
        <f t="shared" si="10"/>
        <v>5冷房店舗既存設備</v>
      </c>
      <c r="AJ44" s="33">
        <v>0.29599999999999999</v>
      </c>
      <c r="AK44" s="17">
        <v>0.93</v>
      </c>
      <c r="AL44" s="17">
        <v>1.03</v>
      </c>
      <c r="AM44" s="2">
        <v>-0.06</v>
      </c>
      <c r="AN44" s="2">
        <v>1.06</v>
      </c>
      <c r="AO44" s="16">
        <f t="shared" ref="AO44:AO47" si="16">ROUNDDOWN(AM44*AJ44+AN44,2)</f>
        <v>1.04</v>
      </c>
      <c r="AP44" s="17">
        <f t="shared" si="2"/>
        <v>0.93</v>
      </c>
    </row>
    <row r="45" spans="15:42">
      <c r="U45" s="20">
        <v>1988</v>
      </c>
      <c r="V45" s="21">
        <v>1990</v>
      </c>
      <c r="AA45" s="60"/>
      <c r="AB45" s="60"/>
      <c r="AC45" s="60"/>
      <c r="AE45" s="1">
        <v>5</v>
      </c>
      <c r="AF45" s="2" t="s">
        <v>6</v>
      </c>
      <c r="AG45" s="15" t="s">
        <v>0</v>
      </c>
      <c r="AH45" s="2" t="s">
        <v>125</v>
      </c>
      <c r="AI45" s="2" t="str">
        <f t="shared" si="10"/>
        <v>5冷房店舗導入予定設備</v>
      </c>
      <c r="AJ45" s="33">
        <v>0.29599999999999999</v>
      </c>
      <c r="AK45" s="17">
        <v>0.96</v>
      </c>
      <c r="AL45" s="17">
        <v>1.07</v>
      </c>
      <c r="AM45" s="2">
        <v>-0.14000000000000001</v>
      </c>
      <c r="AN45" s="2">
        <v>1.1399999999999999</v>
      </c>
      <c r="AO45" s="16">
        <f t="shared" si="16"/>
        <v>1.0900000000000001</v>
      </c>
      <c r="AP45" s="17">
        <f t="shared" si="2"/>
        <v>0.96</v>
      </c>
    </row>
    <row r="46" spans="15:42">
      <c r="U46" s="20">
        <v>1989</v>
      </c>
      <c r="V46" s="21">
        <v>1990</v>
      </c>
      <c r="AA46" s="60"/>
      <c r="AB46" s="60"/>
      <c r="AC46" s="60"/>
      <c r="AE46" s="1">
        <v>5</v>
      </c>
      <c r="AF46" s="2" t="s">
        <v>7</v>
      </c>
      <c r="AG46" s="15" t="s">
        <v>0</v>
      </c>
      <c r="AH46" s="2" t="s">
        <v>122</v>
      </c>
      <c r="AI46" s="2" t="str">
        <f t="shared" si="10"/>
        <v>5冷房事務所既存設備</v>
      </c>
      <c r="AJ46" s="33">
        <v>0.104</v>
      </c>
      <c r="AK46" s="17">
        <v>0.93</v>
      </c>
      <c r="AL46" s="17">
        <v>1.03</v>
      </c>
      <c r="AM46" s="2">
        <v>-0.06</v>
      </c>
      <c r="AN46" s="2">
        <v>1.06</v>
      </c>
      <c r="AO46" s="16">
        <f t="shared" si="16"/>
        <v>1.05</v>
      </c>
      <c r="AP46" s="17">
        <f t="shared" si="2"/>
        <v>0.93</v>
      </c>
    </row>
    <row r="47" spans="15:42">
      <c r="U47" s="20">
        <v>1990</v>
      </c>
      <c r="V47" s="21">
        <v>1990</v>
      </c>
      <c r="AA47" s="60"/>
      <c r="AB47" s="60"/>
      <c r="AC47" s="60"/>
      <c r="AE47" s="1">
        <v>5</v>
      </c>
      <c r="AF47" s="2" t="s">
        <v>7</v>
      </c>
      <c r="AG47" s="15" t="s">
        <v>0</v>
      </c>
      <c r="AH47" s="2" t="s">
        <v>125</v>
      </c>
      <c r="AI47" s="2" t="str">
        <f t="shared" si="10"/>
        <v>5冷房事務所導入予定設備</v>
      </c>
      <c r="AJ47" s="33">
        <v>0.104</v>
      </c>
      <c r="AK47" s="17">
        <v>0.96</v>
      </c>
      <c r="AL47" s="17">
        <v>1.07</v>
      </c>
      <c r="AM47" s="2">
        <v>-0.14000000000000001</v>
      </c>
      <c r="AN47" s="2">
        <v>1.1399999999999999</v>
      </c>
      <c r="AO47" s="16">
        <f t="shared" si="16"/>
        <v>1.1200000000000001</v>
      </c>
      <c r="AP47" s="17">
        <f t="shared" si="2"/>
        <v>0.96</v>
      </c>
    </row>
    <row r="48" spans="15:42">
      <c r="U48" s="20">
        <v>1991</v>
      </c>
      <c r="V48" s="21">
        <v>1990</v>
      </c>
      <c r="AA48" s="60"/>
      <c r="AB48" s="60"/>
      <c r="AC48" s="60"/>
      <c r="AE48" s="1">
        <v>6</v>
      </c>
      <c r="AF48" s="2" t="s">
        <v>6</v>
      </c>
      <c r="AG48" s="26" t="s">
        <v>1</v>
      </c>
      <c r="AH48" s="2" t="s">
        <v>122</v>
      </c>
      <c r="AI48" s="2" t="str">
        <f t="shared" si="10"/>
        <v>6暖房店舗既存設備</v>
      </c>
      <c r="AJ48" s="33">
        <v>0</v>
      </c>
      <c r="AK48" s="17">
        <v>0.9</v>
      </c>
      <c r="AL48" s="17">
        <v>1</v>
      </c>
      <c r="AM48" s="2"/>
      <c r="AN48" s="2"/>
      <c r="AO48" s="17">
        <v>1</v>
      </c>
      <c r="AP48" s="17">
        <f t="shared" si="2"/>
        <v>0.9</v>
      </c>
    </row>
    <row r="49" spans="21:42">
      <c r="U49" s="20">
        <v>1992</v>
      </c>
      <c r="V49" s="21">
        <v>1990</v>
      </c>
      <c r="AA49" s="60"/>
      <c r="AB49" s="60"/>
      <c r="AC49" s="60"/>
      <c r="AE49" s="1">
        <v>6</v>
      </c>
      <c r="AF49" s="2" t="s">
        <v>6</v>
      </c>
      <c r="AG49" s="26" t="s">
        <v>1</v>
      </c>
      <c r="AH49" s="2" t="s">
        <v>125</v>
      </c>
      <c r="AI49" s="2" t="str">
        <f t="shared" si="10"/>
        <v>6暖房店舗導入予定設備</v>
      </c>
      <c r="AJ49" s="33">
        <v>0</v>
      </c>
      <c r="AK49" s="17">
        <v>0.9</v>
      </c>
      <c r="AL49" s="17">
        <v>1</v>
      </c>
      <c r="AM49" s="2"/>
      <c r="AN49" s="2"/>
      <c r="AO49" s="17">
        <v>1</v>
      </c>
      <c r="AP49" s="17">
        <f t="shared" si="2"/>
        <v>0.9</v>
      </c>
    </row>
    <row r="50" spans="21:42">
      <c r="U50" s="20">
        <v>1993</v>
      </c>
      <c r="V50" s="21">
        <v>1990</v>
      </c>
      <c r="AA50" s="60"/>
      <c r="AB50" s="60"/>
      <c r="AC50" s="60"/>
      <c r="AE50" s="1">
        <v>6</v>
      </c>
      <c r="AF50" s="2" t="s">
        <v>7</v>
      </c>
      <c r="AG50" s="26" t="s">
        <v>1</v>
      </c>
      <c r="AH50" s="2" t="s">
        <v>122</v>
      </c>
      <c r="AI50" s="2" t="str">
        <f t="shared" si="10"/>
        <v>6暖房事務所既存設備</v>
      </c>
      <c r="AJ50" s="33">
        <v>0</v>
      </c>
      <c r="AK50" s="17">
        <v>0.9</v>
      </c>
      <c r="AL50" s="17">
        <v>1</v>
      </c>
      <c r="AM50" s="2"/>
      <c r="AN50" s="2"/>
      <c r="AO50" s="17">
        <v>1</v>
      </c>
      <c r="AP50" s="17">
        <f t="shared" si="2"/>
        <v>0.9</v>
      </c>
    </row>
    <row r="51" spans="21:42">
      <c r="U51" s="20">
        <v>1994</v>
      </c>
      <c r="V51" s="21">
        <v>1990</v>
      </c>
      <c r="AA51" s="60"/>
      <c r="AB51" s="60"/>
      <c r="AC51" s="60"/>
      <c r="AE51" s="1">
        <v>6</v>
      </c>
      <c r="AF51" s="2" t="s">
        <v>7</v>
      </c>
      <c r="AG51" s="26" t="s">
        <v>1</v>
      </c>
      <c r="AH51" s="2" t="s">
        <v>125</v>
      </c>
      <c r="AI51" s="2" t="str">
        <f t="shared" si="10"/>
        <v>6暖房事務所導入予定設備</v>
      </c>
      <c r="AJ51" s="33">
        <v>0</v>
      </c>
      <c r="AK51" s="17">
        <v>0.9</v>
      </c>
      <c r="AL51" s="17">
        <v>1</v>
      </c>
      <c r="AM51" s="2"/>
      <c r="AN51" s="2"/>
      <c r="AO51" s="17">
        <v>1</v>
      </c>
      <c r="AP51" s="17">
        <f t="shared" si="2"/>
        <v>0.9</v>
      </c>
    </row>
    <row r="52" spans="21:42">
      <c r="U52" s="20">
        <v>1995</v>
      </c>
      <c r="V52" s="22">
        <v>2000</v>
      </c>
      <c r="AA52" s="60"/>
      <c r="AB52" s="60"/>
      <c r="AC52" s="60"/>
      <c r="AE52" s="1">
        <v>6</v>
      </c>
      <c r="AF52" s="2" t="s">
        <v>6</v>
      </c>
      <c r="AG52" s="15" t="s">
        <v>0</v>
      </c>
      <c r="AH52" s="2" t="s">
        <v>122</v>
      </c>
      <c r="AI52" s="2" t="str">
        <f t="shared" si="10"/>
        <v>6冷房店舗既存設備</v>
      </c>
      <c r="AJ52" s="33">
        <v>0.435</v>
      </c>
      <c r="AK52" s="17">
        <v>0.93</v>
      </c>
      <c r="AL52" s="17">
        <v>1.03</v>
      </c>
      <c r="AM52" s="2">
        <v>-0.06</v>
      </c>
      <c r="AN52" s="2">
        <v>1.06</v>
      </c>
      <c r="AO52" s="16">
        <f t="shared" ref="AO52:AO55" si="17">ROUNDDOWN(AM52*AJ52+AN52,2)</f>
        <v>1.03</v>
      </c>
      <c r="AP52" s="17">
        <f t="shared" si="2"/>
        <v>1.03</v>
      </c>
    </row>
    <row r="53" spans="21:42">
      <c r="U53" s="20">
        <v>1996</v>
      </c>
      <c r="V53" s="22">
        <v>2000</v>
      </c>
      <c r="AA53" s="60"/>
      <c r="AB53" s="60"/>
      <c r="AC53" s="60"/>
      <c r="AE53" s="1">
        <v>6</v>
      </c>
      <c r="AF53" s="2" t="s">
        <v>6</v>
      </c>
      <c r="AG53" s="15" t="s">
        <v>0</v>
      </c>
      <c r="AH53" s="2" t="s">
        <v>125</v>
      </c>
      <c r="AI53" s="2" t="str">
        <f t="shared" si="10"/>
        <v>6冷房店舗導入予定設備</v>
      </c>
      <c r="AJ53" s="33">
        <v>0.435</v>
      </c>
      <c r="AK53" s="17">
        <v>0.96</v>
      </c>
      <c r="AL53" s="17">
        <v>1.07</v>
      </c>
      <c r="AM53" s="2">
        <v>-0.14000000000000001</v>
      </c>
      <c r="AN53" s="2">
        <v>1.1399999999999999</v>
      </c>
      <c r="AO53" s="16">
        <f t="shared" si="17"/>
        <v>1.07</v>
      </c>
      <c r="AP53" s="17">
        <f t="shared" si="2"/>
        <v>1.07</v>
      </c>
    </row>
    <row r="54" spans="21:42">
      <c r="U54" s="20">
        <v>1997</v>
      </c>
      <c r="V54" s="22">
        <v>2000</v>
      </c>
      <c r="AA54" s="60"/>
      <c r="AB54" s="60"/>
      <c r="AC54" s="60"/>
      <c r="AE54" s="1">
        <v>6</v>
      </c>
      <c r="AF54" s="2" t="s">
        <v>7</v>
      </c>
      <c r="AG54" s="15" t="s">
        <v>0</v>
      </c>
      <c r="AH54" s="2" t="s">
        <v>122</v>
      </c>
      <c r="AI54" s="2" t="str">
        <f t="shared" si="10"/>
        <v>6冷房事務所既存設備</v>
      </c>
      <c r="AJ54" s="33">
        <v>0.40200000000000002</v>
      </c>
      <c r="AK54" s="17">
        <v>0.93</v>
      </c>
      <c r="AL54" s="17">
        <v>1.03</v>
      </c>
      <c r="AM54" s="2">
        <v>-0.06</v>
      </c>
      <c r="AN54" s="2">
        <v>1.06</v>
      </c>
      <c r="AO54" s="16">
        <f t="shared" si="17"/>
        <v>1.03</v>
      </c>
      <c r="AP54" s="17">
        <f t="shared" si="2"/>
        <v>1.03</v>
      </c>
    </row>
    <row r="55" spans="21:42">
      <c r="U55" s="20">
        <v>1998</v>
      </c>
      <c r="V55" s="22">
        <v>2000</v>
      </c>
      <c r="AA55" s="60"/>
      <c r="AB55" s="60"/>
      <c r="AC55" s="60"/>
      <c r="AE55" s="1">
        <v>6</v>
      </c>
      <c r="AF55" s="2" t="s">
        <v>7</v>
      </c>
      <c r="AG55" s="15" t="s">
        <v>0</v>
      </c>
      <c r="AH55" s="2" t="s">
        <v>125</v>
      </c>
      <c r="AI55" s="2" t="str">
        <f t="shared" si="10"/>
        <v>6冷房事務所導入予定設備</v>
      </c>
      <c r="AJ55" s="33">
        <v>0.40200000000000002</v>
      </c>
      <c r="AK55" s="17">
        <v>0.96</v>
      </c>
      <c r="AL55" s="17">
        <v>1.07</v>
      </c>
      <c r="AM55" s="2">
        <v>-0.14000000000000001</v>
      </c>
      <c r="AN55" s="2">
        <v>1.1399999999999999</v>
      </c>
      <c r="AO55" s="16">
        <f t="shared" si="17"/>
        <v>1.08</v>
      </c>
      <c r="AP55" s="17">
        <f t="shared" si="2"/>
        <v>1.07</v>
      </c>
    </row>
    <row r="56" spans="21:42">
      <c r="U56" s="20">
        <v>1999</v>
      </c>
      <c r="V56" s="22">
        <v>2000</v>
      </c>
      <c r="AA56" s="60"/>
      <c r="AB56" s="60"/>
      <c r="AC56" s="60"/>
      <c r="AE56" s="2">
        <v>7</v>
      </c>
      <c r="AF56" s="2" t="s">
        <v>6</v>
      </c>
      <c r="AG56" s="26" t="s">
        <v>1</v>
      </c>
      <c r="AH56" s="2" t="s">
        <v>122</v>
      </c>
      <c r="AI56" s="2" t="str">
        <f t="shared" si="10"/>
        <v>7暖房店舗既存設備</v>
      </c>
      <c r="AJ56" s="33">
        <v>0</v>
      </c>
      <c r="AK56" s="17">
        <v>0.9</v>
      </c>
      <c r="AL56" s="17">
        <v>1</v>
      </c>
      <c r="AM56" s="2"/>
      <c r="AN56" s="2"/>
      <c r="AO56" s="17">
        <v>1</v>
      </c>
      <c r="AP56" s="17">
        <f t="shared" si="2"/>
        <v>0.9</v>
      </c>
    </row>
    <row r="57" spans="21:42">
      <c r="U57" s="20">
        <v>2000</v>
      </c>
      <c r="V57" s="22">
        <v>2000</v>
      </c>
      <c r="AA57" s="60"/>
      <c r="AB57" s="60"/>
      <c r="AC57" s="60"/>
      <c r="AE57" s="2">
        <v>7</v>
      </c>
      <c r="AF57" s="2" t="s">
        <v>6</v>
      </c>
      <c r="AG57" s="26" t="s">
        <v>1</v>
      </c>
      <c r="AH57" s="2" t="s">
        <v>125</v>
      </c>
      <c r="AI57" s="2" t="str">
        <f t="shared" si="10"/>
        <v>7暖房店舗導入予定設備</v>
      </c>
      <c r="AJ57" s="33">
        <v>0</v>
      </c>
      <c r="AK57" s="17">
        <v>0.9</v>
      </c>
      <c r="AL57" s="17">
        <v>1</v>
      </c>
      <c r="AM57" s="2"/>
      <c r="AN57" s="2"/>
      <c r="AO57" s="17">
        <v>1</v>
      </c>
      <c r="AP57" s="17">
        <f t="shared" si="2"/>
        <v>0.9</v>
      </c>
    </row>
    <row r="58" spans="21:42">
      <c r="U58" s="20">
        <v>2001</v>
      </c>
      <c r="V58" s="22">
        <v>2000</v>
      </c>
      <c r="AA58" s="60"/>
      <c r="AB58" s="60"/>
      <c r="AC58" s="60"/>
      <c r="AE58" s="2">
        <v>7</v>
      </c>
      <c r="AF58" s="2" t="s">
        <v>7</v>
      </c>
      <c r="AG58" s="26" t="s">
        <v>1</v>
      </c>
      <c r="AH58" s="2" t="s">
        <v>122</v>
      </c>
      <c r="AI58" s="2" t="str">
        <f t="shared" si="10"/>
        <v>7暖房事務所既存設備</v>
      </c>
      <c r="AJ58" s="33">
        <v>0</v>
      </c>
      <c r="AK58" s="17">
        <v>0.9</v>
      </c>
      <c r="AL58" s="17">
        <v>1</v>
      </c>
      <c r="AM58" s="2"/>
      <c r="AN58" s="2"/>
      <c r="AO58" s="17">
        <v>1</v>
      </c>
      <c r="AP58" s="17">
        <f t="shared" si="2"/>
        <v>0.9</v>
      </c>
    </row>
    <row r="59" spans="21:42">
      <c r="U59" s="20">
        <v>2002</v>
      </c>
      <c r="V59" s="22">
        <v>2000</v>
      </c>
      <c r="AA59" s="60"/>
      <c r="AB59" s="60"/>
      <c r="AC59" s="60"/>
      <c r="AE59" s="2">
        <v>7</v>
      </c>
      <c r="AF59" s="2" t="s">
        <v>7</v>
      </c>
      <c r="AG59" s="26" t="s">
        <v>1</v>
      </c>
      <c r="AH59" s="2" t="s">
        <v>125</v>
      </c>
      <c r="AI59" s="2" t="str">
        <f t="shared" si="10"/>
        <v>7暖房事務所導入予定設備</v>
      </c>
      <c r="AJ59" s="33">
        <v>0</v>
      </c>
      <c r="AK59" s="17">
        <v>0.9</v>
      </c>
      <c r="AL59" s="17">
        <v>1</v>
      </c>
      <c r="AM59" s="2"/>
      <c r="AN59" s="2"/>
      <c r="AO59" s="17">
        <v>1</v>
      </c>
      <c r="AP59" s="17">
        <f t="shared" si="2"/>
        <v>0.9</v>
      </c>
    </row>
    <row r="60" spans="21:42">
      <c r="U60" s="20">
        <v>2003</v>
      </c>
      <c r="V60" s="22">
        <v>2000</v>
      </c>
      <c r="AA60" s="60"/>
      <c r="AB60" s="60"/>
      <c r="AC60" s="60"/>
      <c r="AE60" s="2">
        <v>7</v>
      </c>
      <c r="AF60" s="2" t="s">
        <v>6</v>
      </c>
      <c r="AG60" s="15" t="s">
        <v>0</v>
      </c>
      <c r="AH60" s="2" t="s">
        <v>122</v>
      </c>
      <c r="AI60" s="2" t="str">
        <f t="shared" si="10"/>
        <v>7冷房店舗既存設備</v>
      </c>
      <c r="AJ60" s="33">
        <v>0.64100000000000001</v>
      </c>
      <c r="AK60" s="17">
        <v>0.93</v>
      </c>
      <c r="AL60" s="17">
        <v>1.03</v>
      </c>
      <c r="AM60" s="2">
        <v>-0.06</v>
      </c>
      <c r="AN60" s="2">
        <v>1.06</v>
      </c>
      <c r="AO60" s="16">
        <f t="shared" ref="AO60:AO63" si="18">ROUNDDOWN(AM60*AJ60+AN60,2)</f>
        <v>1.02</v>
      </c>
      <c r="AP60" s="17">
        <f t="shared" si="2"/>
        <v>1.02</v>
      </c>
    </row>
    <row r="61" spans="21:42">
      <c r="U61" s="20">
        <v>2004</v>
      </c>
      <c r="V61" s="22">
        <v>2000</v>
      </c>
      <c r="AA61" s="60"/>
      <c r="AB61" s="60"/>
      <c r="AC61" s="60"/>
      <c r="AE61" s="2">
        <v>7</v>
      </c>
      <c r="AF61" s="2" t="s">
        <v>6</v>
      </c>
      <c r="AG61" s="15" t="s">
        <v>0</v>
      </c>
      <c r="AH61" s="2" t="s">
        <v>125</v>
      </c>
      <c r="AI61" s="2" t="str">
        <f t="shared" si="10"/>
        <v>7冷房店舗導入予定設備</v>
      </c>
      <c r="AJ61" s="33">
        <v>0.64100000000000001</v>
      </c>
      <c r="AK61" s="17">
        <v>0.96</v>
      </c>
      <c r="AL61" s="17">
        <v>1.07</v>
      </c>
      <c r="AM61" s="2">
        <v>-0.14000000000000001</v>
      </c>
      <c r="AN61" s="2">
        <v>1.1399999999999999</v>
      </c>
      <c r="AO61" s="16">
        <f t="shared" si="18"/>
        <v>1.05</v>
      </c>
      <c r="AP61" s="17">
        <f t="shared" si="2"/>
        <v>1.05</v>
      </c>
    </row>
    <row r="62" spans="21:42">
      <c r="U62" s="20">
        <v>2005</v>
      </c>
      <c r="V62" s="22">
        <v>2010</v>
      </c>
      <c r="AA62" s="60"/>
      <c r="AB62" s="60"/>
      <c r="AC62" s="60"/>
      <c r="AE62" s="2">
        <v>7</v>
      </c>
      <c r="AF62" s="2" t="s">
        <v>7</v>
      </c>
      <c r="AG62" s="15" t="s">
        <v>0</v>
      </c>
      <c r="AH62" s="2" t="s">
        <v>122</v>
      </c>
      <c r="AI62" s="2" t="str">
        <f t="shared" si="10"/>
        <v>7冷房事務所既存設備</v>
      </c>
      <c r="AJ62" s="33">
        <v>0.68600000000000005</v>
      </c>
      <c r="AK62" s="17">
        <v>0.93</v>
      </c>
      <c r="AL62" s="17">
        <v>1.03</v>
      </c>
      <c r="AM62" s="2">
        <v>-0.06</v>
      </c>
      <c r="AN62" s="2">
        <v>1.06</v>
      </c>
      <c r="AO62" s="16">
        <f t="shared" si="18"/>
        <v>1.01</v>
      </c>
      <c r="AP62" s="17">
        <f t="shared" si="2"/>
        <v>1.01</v>
      </c>
    </row>
    <row r="63" spans="21:42">
      <c r="U63" s="20">
        <v>2006</v>
      </c>
      <c r="V63" s="22">
        <v>2010</v>
      </c>
      <c r="AA63" s="60"/>
      <c r="AB63" s="60"/>
      <c r="AC63" s="60"/>
      <c r="AE63" s="2">
        <v>7</v>
      </c>
      <c r="AF63" s="2" t="s">
        <v>7</v>
      </c>
      <c r="AG63" s="15" t="s">
        <v>0</v>
      </c>
      <c r="AH63" s="2" t="s">
        <v>125</v>
      </c>
      <c r="AI63" s="2" t="str">
        <f t="shared" si="10"/>
        <v>7冷房事務所導入予定設備</v>
      </c>
      <c r="AJ63" s="33">
        <v>0.68600000000000005</v>
      </c>
      <c r="AK63" s="17">
        <v>0.96</v>
      </c>
      <c r="AL63" s="17">
        <v>1.07</v>
      </c>
      <c r="AM63" s="2">
        <v>-0.14000000000000001</v>
      </c>
      <c r="AN63" s="2">
        <v>1.1399999999999999</v>
      </c>
      <c r="AO63" s="16">
        <f t="shared" si="18"/>
        <v>1.04</v>
      </c>
      <c r="AP63" s="17">
        <f t="shared" si="2"/>
        <v>1.04</v>
      </c>
    </row>
    <row r="64" spans="21:42">
      <c r="U64" s="20">
        <v>2007</v>
      </c>
      <c r="V64" s="22">
        <v>2010</v>
      </c>
      <c r="AE64" s="2">
        <v>8</v>
      </c>
      <c r="AF64" s="2" t="s">
        <v>6</v>
      </c>
      <c r="AG64" s="26" t="s">
        <v>1</v>
      </c>
      <c r="AH64" s="2" t="s">
        <v>122</v>
      </c>
      <c r="AI64" s="2" t="str">
        <f t="shared" si="10"/>
        <v>8暖房店舗既存設備</v>
      </c>
      <c r="AJ64" s="33">
        <v>0</v>
      </c>
      <c r="AK64" s="17">
        <v>0.9</v>
      </c>
      <c r="AL64" s="17">
        <v>1</v>
      </c>
      <c r="AM64" s="2"/>
      <c r="AN64" s="2"/>
      <c r="AO64" s="17">
        <v>1</v>
      </c>
      <c r="AP64" s="17">
        <f t="shared" si="2"/>
        <v>0.9</v>
      </c>
    </row>
    <row r="65" spans="21:42">
      <c r="U65" s="20">
        <v>2008</v>
      </c>
      <c r="V65" s="22">
        <v>2010</v>
      </c>
      <c r="AE65" s="2">
        <v>8</v>
      </c>
      <c r="AF65" s="2" t="s">
        <v>6</v>
      </c>
      <c r="AG65" s="26" t="s">
        <v>1</v>
      </c>
      <c r="AH65" s="2" t="s">
        <v>125</v>
      </c>
      <c r="AI65" s="2" t="str">
        <f t="shared" si="10"/>
        <v>8暖房店舗導入予定設備</v>
      </c>
      <c r="AJ65" s="33">
        <v>0</v>
      </c>
      <c r="AK65" s="17">
        <v>0.9</v>
      </c>
      <c r="AL65" s="17">
        <v>1</v>
      </c>
      <c r="AM65" s="2"/>
      <c r="AN65" s="2"/>
      <c r="AO65" s="17">
        <v>1</v>
      </c>
      <c r="AP65" s="17">
        <f t="shared" si="2"/>
        <v>0.9</v>
      </c>
    </row>
    <row r="66" spans="21:42">
      <c r="U66" s="20">
        <v>2009</v>
      </c>
      <c r="V66" s="22">
        <v>2010</v>
      </c>
      <c r="AE66" s="2">
        <v>8</v>
      </c>
      <c r="AF66" s="2" t="s">
        <v>7</v>
      </c>
      <c r="AG66" s="26" t="s">
        <v>1</v>
      </c>
      <c r="AH66" s="2" t="s">
        <v>122</v>
      </c>
      <c r="AI66" s="2" t="str">
        <f t="shared" si="10"/>
        <v>8暖房事務所既存設備</v>
      </c>
      <c r="AJ66" s="33">
        <v>0</v>
      </c>
      <c r="AK66" s="17">
        <v>0.9</v>
      </c>
      <c r="AL66" s="17">
        <v>1</v>
      </c>
      <c r="AM66" s="2"/>
      <c r="AN66" s="2"/>
      <c r="AO66" s="17">
        <v>1</v>
      </c>
      <c r="AP66" s="17">
        <f t="shared" si="2"/>
        <v>0.9</v>
      </c>
    </row>
    <row r="67" spans="21:42">
      <c r="U67" s="20">
        <v>2010</v>
      </c>
      <c r="V67" s="22">
        <v>2010</v>
      </c>
      <c r="AE67" s="2">
        <v>8</v>
      </c>
      <c r="AF67" s="2" t="s">
        <v>7</v>
      </c>
      <c r="AG67" s="26" t="s">
        <v>1</v>
      </c>
      <c r="AH67" s="2" t="s">
        <v>125</v>
      </c>
      <c r="AI67" s="2" t="str">
        <f t="shared" si="10"/>
        <v>8暖房事務所導入予定設備</v>
      </c>
      <c r="AJ67" s="33">
        <v>0</v>
      </c>
      <c r="AK67" s="17">
        <v>0.9</v>
      </c>
      <c r="AL67" s="17">
        <v>1</v>
      </c>
      <c r="AM67" s="2"/>
      <c r="AN67" s="2"/>
      <c r="AO67" s="17">
        <v>1</v>
      </c>
      <c r="AP67" s="17">
        <f t="shared" si="2"/>
        <v>0.9</v>
      </c>
    </row>
    <row r="68" spans="21:42">
      <c r="U68" s="20">
        <v>2011</v>
      </c>
      <c r="V68" s="22">
        <v>2010</v>
      </c>
      <c r="AE68" s="2">
        <v>8</v>
      </c>
      <c r="AF68" s="2" t="s">
        <v>6</v>
      </c>
      <c r="AG68" s="15" t="s">
        <v>0</v>
      </c>
      <c r="AH68" s="2" t="s">
        <v>122</v>
      </c>
      <c r="AI68" s="2" t="str">
        <f t="shared" si="10"/>
        <v>8冷房店舗既存設備</v>
      </c>
      <c r="AJ68" s="33">
        <v>0.69299999999999995</v>
      </c>
      <c r="AK68" s="17">
        <v>0.93</v>
      </c>
      <c r="AL68" s="17">
        <v>1.03</v>
      </c>
      <c r="AM68" s="2">
        <v>-0.06</v>
      </c>
      <c r="AN68" s="2">
        <v>1.06</v>
      </c>
      <c r="AO68" s="16">
        <f t="shared" ref="AO68:AO71" si="19">ROUNDDOWN(AM68*AJ68+AN68,2)</f>
        <v>1.01</v>
      </c>
      <c r="AP68" s="17">
        <f t="shared" si="2"/>
        <v>1.01</v>
      </c>
    </row>
    <row r="69" spans="21:42">
      <c r="U69" s="20">
        <v>2012</v>
      </c>
      <c r="V69" s="22">
        <v>2010</v>
      </c>
      <c r="AE69" s="2">
        <v>8</v>
      </c>
      <c r="AF69" s="2" t="s">
        <v>6</v>
      </c>
      <c r="AG69" s="15" t="s">
        <v>0</v>
      </c>
      <c r="AH69" s="2" t="s">
        <v>125</v>
      </c>
      <c r="AI69" s="2" t="str">
        <f t="shared" si="10"/>
        <v>8冷房店舗導入予定設備</v>
      </c>
      <c r="AJ69" s="33">
        <v>0.69299999999999995</v>
      </c>
      <c r="AK69" s="17">
        <v>0.96</v>
      </c>
      <c r="AL69" s="17">
        <v>1.07</v>
      </c>
      <c r="AM69" s="2">
        <v>-0.14000000000000001</v>
      </c>
      <c r="AN69" s="2">
        <v>1.1399999999999999</v>
      </c>
      <c r="AO69" s="16">
        <f t="shared" si="19"/>
        <v>1.04</v>
      </c>
      <c r="AP69" s="17">
        <f t="shared" si="2"/>
        <v>1.04</v>
      </c>
    </row>
    <row r="70" spans="21:42">
      <c r="U70" s="20">
        <v>2013</v>
      </c>
      <c r="V70" s="22">
        <v>2010</v>
      </c>
      <c r="AE70" s="2">
        <v>8</v>
      </c>
      <c r="AF70" s="2" t="s">
        <v>7</v>
      </c>
      <c r="AG70" s="15" t="s">
        <v>0</v>
      </c>
      <c r="AH70" s="2" t="s">
        <v>122</v>
      </c>
      <c r="AI70" s="2" t="str">
        <f t="shared" si="10"/>
        <v>8冷房事務所既存設備</v>
      </c>
      <c r="AJ70" s="33">
        <v>0.76300000000000001</v>
      </c>
      <c r="AK70" s="17">
        <v>0.93</v>
      </c>
      <c r="AL70" s="17">
        <v>1.03</v>
      </c>
      <c r="AM70" s="2">
        <v>-0.06</v>
      </c>
      <c r="AN70" s="2">
        <v>1.06</v>
      </c>
      <c r="AO70" s="16">
        <f t="shared" si="19"/>
        <v>1.01</v>
      </c>
      <c r="AP70" s="17">
        <f t="shared" si="2"/>
        <v>1.01</v>
      </c>
    </row>
    <row r="71" spans="21:42">
      <c r="U71" s="20">
        <v>2014</v>
      </c>
      <c r="V71" s="22">
        <v>2010</v>
      </c>
      <c r="AE71" s="2">
        <v>8</v>
      </c>
      <c r="AF71" s="2" t="s">
        <v>7</v>
      </c>
      <c r="AG71" s="15" t="s">
        <v>0</v>
      </c>
      <c r="AH71" s="2" t="s">
        <v>125</v>
      </c>
      <c r="AI71" s="2" t="str">
        <f t="shared" si="10"/>
        <v>8冷房事務所導入予定設備</v>
      </c>
      <c r="AJ71" s="33">
        <v>0.76300000000000001</v>
      </c>
      <c r="AK71" s="17">
        <v>0.96</v>
      </c>
      <c r="AL71" s="17">
        <v>1.07</v>
      </c>
      <c r="AM71" s="2">
        <v>-0.14000000000000001</v>
      </c>
      <c r="AN71" s="2">
        <v>1.1399999999999999</v>
      </c>
      <c r="AO71" s="16">
        <f t="shared" si="19"/>
        <v>1.03</v>
      </c>
      <c r="AP71" s="17">
        <f t="shared" si="2"/>
        <v>1.03</v>
      </c>
    </row>
    <row r="72" spans="21:42">
      <c r="U72" s="20">
        <v>2015</v>
      </c>
      <c r="V72" s="22">
        <v>2010</v>
      </c>
      <c r="AE72" s="2">
        <v>9</v>
      </c>
      <c r="AF72" s="2" t="s">
        <v>6</v>
      </c>
      <c r="AG72" s="26" t="s">
        <v>1</v>
      </c>
      <c r="AH72" s="2" t="s">
        <v>122</v>
      </c>
      <c r="AI72" s="2" t="str">
        <f t="shared" si="10"/>
        <v>9暖房店舗既存設備</v>
      </c>
      <c r="AJ72" s="33">
        <v>0</v>
      </c>
      <c r="AK72" s="17">
        <v>0.9</v>
      </c>
      <c r="AL72" s="17">
        <v>1</v>
      </c>
      <c r="AM72" s="2"/>
      <c r="AN72" s="2"/>
      <c r="AO72" s="17">
        <v>1</v>
      </c>
      <c r="AP72" s="17">
        <f t="shared" si="2"/>
        <v>0.9</v>
      </c>
    </row>
    <row r="73" spans="21:42">
      <c r="U73" s="20">
        <v>2016</v>
      </c>
      <c r="V73" s="21">
        <v>2010</v>
      </c>
      <c r="AE73" s="2">
        <v>9</v>
      </c>
      <c r="AF73" s="2" t="s">
        <v>6</v>
      </c>
      <c r="AG73" s="26" t="s">
        <v>1</v>
      </c>
      <c r="AH73" s="2" t="s">
        <v>125</v>
      </c>
      <c r="AI73" s="2" t="str">
        <f t="shared" si="10"/>
        <v>9暖房店舗導入予定設備</v>
      </c>
      <c r="AJ73" s="33">
        <v>0</v>
      </c>
      <c r="AK73" s="17">
        <v>0.9</v>
      </c>
      <c r="AL73" s="17">
        <v>1</v>
      </c>
      <c r="AM73" s="2"/>
      <c r="AN73" s="2"/>
      <c r="AO73" s="17">
        <v>1</v>
      </c>
      <c r="AP73" s="17">
        <f t="shared" ref="AP73:AP103" si="20">IF(AJ73&gt;=0.5,AO73,IF(AJ73&gt;=0.3,AL73,AK73))</f>
        <v>0.9</v>
      </c>
    </row>
    <row r="74" spans="21:42">
      <c r="U74" s="66" t="s">
        <v>167</v>
      </c>
      <c r="V74" s="21">
        <v>2010</v>
      </c>
      <c r="AE74" s="2">
        <v>9</v>
      </c>
      <c r="AF74" s="2" t="s">
        <v>7</v>
      </c>
      <c r="AG74" s="26" t="s">
        <v>1</v>
      </c>
      <c r="AH74" s="2" t="s">
        <v>122</v>
      </c>
      <c r="AI74" s="2" t="str">
        <f t="shared" si="10"/>
        <v>9暖房事務所既存設備</v>
      </c>
      <c r="AJ74" s="33">
        <v>0</v>
      </c>
      <c r="AK74" s="17">
        <v>0.9</v>
      </c>
      <c r="AL74" s="17">
        <v>1</v>
      </c>
      <c r="AM74" s="2"/>
      <c r="AN74" s="2"/>
      <c r="AO74" s="17">
        <v>1</v>
      </c>
      <c r="AP74" s="17">
        <f t="shared" si="20"/>
        <v>0.9</v>
      </c>
    </row>
    <row r="75" spans="21:42">
      <c r="U75" s="20">
        <v>2018</v>
      </c>
      <c r="V75" s="21">
        <v>2010</v>
      </c>
      <c r="AE75" s="2">
        <v>9</v>
      </c>
      <c r="AF75" s="2" t="s">
        <v>7</v>
      </c>
      <c r="AG75" s="26" t="s">
        <v>1</v>
      </c>
      <c r="AH75" s="2" t="s">
        <v>125</v>
      </c>
      <c r="AI75" s="2" t="str">
        <f t="shared" si="10"/>
        <v>9暖房事務所導入予定設備</v>
      </c>
      <c r="AJ75" s="33">
        <v>0</v>
      </c>
      <c r="AK75" s="17">
        <v>0.9</v>
      </c>
      <c r="AL75" s="17">
        <v>1</v>
      </c>
      <c r="AM75" s="2"/>
      <c r="AN75" s="2"/>
      <c r="AO75" s="17">
        <v>1</v>
      </c>
      <c r="AP75" s="17">
        <f t="shared" si="20"/>
        <v>0.9</v>
      </c>
    </row>
    <row r="76" spans="21:42">
      <c r="AE76" s="2">
        <v>9</v>
      </c>
      <c r="AF76" s="2" t="s">
        <v>6</v>
      </c>
      <c r="AG76" s="15" t="s">
        <v>0</v>
      </c>
      <c r="AH76" s="2" t="s">
        <v>122</v>
      </c>
      <c r="AI76" s="2" t="str">
        <f t="shared" si="10"/>
        <v>9冷房店舗既存設備</v>
      </c>
      <c r="AJ76" s="33">
        <v>0.47</v>
      </c>
      <c r="AK76" s="17">
        <v>0.93</v>
      </c>
      <c r="AL76" s="17">
        <v>1.03</v>
      </c>
      <c r="AM76" s="2">
        <v>-0.06</v>
      </c>
      <c r="AN76" s="2">
        <v>1.06</v>
      </c>
      <c r="AO76" s="16">
        <f t="shared" ref="AO76:AO79" si="21">ROUNDDOWN(AM76*AJ76+AN76,2)</f>
        <v>1.03</v>
      </c>
      <c r="AP76" s="17">
        <f t="shared" si="20"/>
        <v>1.03</v>
      </c>
    </row>
    <row r="77" spans="21:42">
      <c r="AE77" s="2">
        <v>9</v>
      </c>
      <c r="AF77" s="2" t="s">
        <v>6</v>
      </c>
      <c r="AG77" s="15" t="s">
        <v>0</v>
      </c>
      <c r="AH77" s="2" t="s">
        <v>125</v>
      </c>
      <c r="AI77" s="2" t="str">
        <f t="shared" si="10"/>
        <v>9冷房店舗導入予定設備</v>
      </c>
      <c r="AJ77" s="33">
        <v>0.47</v>
      </c>
      <c r="AK77" s="17">
        <v>0.96</v>
      </c>
      <c r="AL77" s="17">
        <v>1.07</v>
      </c>
      <c r="AM77" s="2">
        <v>-0.14000000000000001</v>
      </c>
      <c r="AN77" s="2">
        <v>1.1399999999999999</v>
      </c>
      <c r="AO77" s="16">
        <f t="shared" si="21"/>
        <v>1.07</v>
      </c>
      <c r="AP77" s="17">
        <f t="shared" si="20"/>
        <v>1.07</v>
      </c>
    </row>
    <row r="78" spans="21:42">
      <c r="AE78" s="2">
        <v>9</v>
      </c>
      <c r="AF78" s="2" t="s">
        <v>7</v>
      </c>
      <c r="AG78" s="15" t="s">
        <v>0</v>
      </c>
      <c r="AH78" s="2" t="s">
        <v>122</v>
      </c>
      <c r="AI78" s="2" t="str">
        <f t="shared" si="10"/>
        <v>9冷房事務所既存設備</v>
      </c>
      <c r="AJ78" s="33">
        <v>0.50600000000000001</v>
      </c>
      <c r="AK78" s="17">
        <v>0.93</v>
      </c>
      <c r="AL78" s="17">
        <v>1.03</v>
      </c>
      <c r="AM78" s="2">
        <v>-0.06</v>
      </c>
      <c r="AN78" s="2">
        <v>1.06</v>
      </c>
      <c r="AO78" s="16">
        <f t="shared" si="21"/>
        <v>1.02</v>
      </c>
      <c r="AP78" s="17">
        <f t="shared" si="20"/>
        <v>1.02</v>
      </c>
    </row>
    <row r="79" spans="21:42">
      <c r="AE79" s="2">
        <v>9</v>
      </c>
      <c r="AF79" s="2" t="s">
        <v>7</v>
      </c>
      <c r="AG79" s="15" t="s">
        <v>0</v>
      </c>
      <c r="AH79" s="2" t="s">
        <v>125</v>
      </c>
      <c r="AI79" s="2" t="str">
        <f t="shared" si="10"/>
        <v>9冷房事務所導入予定設備</v>
      </c>
      <c r="AJ79" s="33">
        <v>0.50600000000000001</v>
      </c>
      <c r="AK79" s="17">
        <v>0.96</v>
      </c>
      <c r="AL79" s="17">
        <v>1.07</v>
      </c>
      <c r="AM79" s="2">
        <v>-0.14000000000000001</v>
      </c>
      <c r="AN79" s="2">
        <v>1.1399999999999999</v>
      </c>
      <c r="AO79" s="16">
        <f t="shared" si="21"/>
        <v>1.06</v>
      </c>
      <c r="AP79" s="17">
        <f t="shared" si="20"/>
        <v>1.06</v>
      </c>
    </row>
    <row r="80" spans="21:42">
      <c r="AE80" s="2">
        <v>10</v>
      </c>
      <c r="AF80" s="2" t="s">
        <v>6</v>
      </c>
      <c r="AG80" s="26" t="s">
        <v>1</v>
      </c>
      <c r="AH80" s="2" t="s">
        <v>122</v>
      </c>
      <c r="AI80" s="2" t="str">
        <f t="shared" si="10"/>
        <v>10暖房店舗既存設備</v>
      </c>
      <c r="AJ80" s="33">
        <v>0</v>
      </c>
      <c r="AK80" s="17">
        <v>0.9</v>
      </c>
      <c r="AL80" s="17">
        <v>1</v>
      </c>
      <c r="AM80" s="2"/>
      <c r="AN80" s="2"/>
      <c r="AO80" s="17">
        <v>1</v>
      </c>
      <c r="AP80" s="17">
        <f t="shared" si="20"/>
        <v>0.9</v>
      </c>
    </row>
    <row r="81" spans="31:42">
      <c r="AE81" s="2">
        <v>10</v>
      </c>
      <c r="AF81" s="2" t="s">
        <v>6</v>
      </c>
      <c r="AG81" s="26" t="s">
        <v>1</v>
      </c>
      <c r="AH81" s="2" t="s">
        <v>125</v>
      </c>
      <c r="AI81" s="2" t="str">
        <f t="shared" si="10"/>
        <v>10暖房店舗導入予定設備</v>
      </c>
      <c r="AJ81" s="33">
        <v>0</v>
      </c>
      <c r="AK81" s="17">
        <v>0.9</v>
      </c>
      <c r="AL81" s="17">
        <v>1</v>
      </c>
      <c r="AM81" s="2"/>
      <c r="AN81" s="2"/>
      <c r="AO81" s="17">
        <v>1</v>
      </c>
      <c r="AP81" s="17">
        <f t="shared" si="20"/>
        <v>0.9</v>
      </c>
    </row>
    <row r="82" spans="31:42">
      <c r="AE82" s="2">
        <v>10</v>
      </c>
      <c r="AF82" s="2" t="s">
        <v>7</v>
      </c>
      <c r="AG82" s="26" t="s">
        <v>1</v>
      </c>
      <c r="AH82" s="2" t="s">
        <v>122</v>
      </c>
      <c r="AI82" s="2" t="str">
        <f t="shared" si="10"/>
        <v>10暖房事務所既存設備</v>
      </c>
      <c r="AJ82" s="33">
        <v>0</v>
      </c>
      <c r="AK82" s="17">
        <v>0.9</v>
      </c>
      <c r="AL82" s="17">
        <v>1</v>
      </c>
      <c r="AM82" s="2"/>
      <c r="AN82" s="2"/>
      <c r="AO82" s="17">
        <v>1</v>
      </c>
      <c r="AP82" s="17">
        <f t="shared" si="20"/>
        <v>0.9</v>
      </c>
    </row>
    <row r="83" spans="31:42">
      <c r="AE83" s="2">
        <v>10</v>
      </c>
      <c r="AF83" s="2" t="s">
        <v>7</v>
      </c>
      <c r="AG83" s="26" t="s">
        <v>1</v>
      </c>
      <c r="AH83" s="2" t="s">
        <v>125</v>
      </c>
      <c r="AI83" s="2" t="str">
        <f t="shared" si="10"/>
        <v>10暖房事務所導入予定設備</v>
      </c>
      <c r="AJ83" s="33">
        <v>0</v>
      </c>
      <c r="AK83" s="17">
        <v>0.9</v>
      </c>
      <c r="AL83" s="17">
        <v>1</v>
      </c>
      <c r="AM83" s="2"/>
      <c r="AN83" s="2"/>
      <c r="AO83" s="17">
        <v>1</v>
      </c>
      <c r="AP83" s="17">
        <f t="shared" si="20"/>
        <v>0.9</v>
      </c>
    </row>
    <row r="84" spans="31:42">
      <c r="AE84" s="2">
        <v>10</v>
      </c>
      <c r="AF84" s="2" t="s">
        <v>6</v>
      </c>
      <c r="AG84" s="15" t="s">
        <v>0</v>
      </c>
      <c r="AH84" s="2" t="s">
        <v>122</v>
      </c>
      <c r="AI84" s="2" t="str">
        <f t="shared" si="10"/>
        <v>10冷房店舗既存設備</v>
      </c>
      <c r="AJ84" s="33">
        <v>0.36399999999999999</v>
      </c>
      <c r="AK84" s="17">
        <v>0.93</v>
      </c>
      <c r="AL84" s="17">
        <v>1.03</v>
      </c>
      <c r="AM84" s="2">
        <v>-0.06</v>
      </c>
      <c r="AN84" s="2">
        <v>1.06</v>
      </c>
      <c r="AO84" s="16">
        <f t="shared" ref="AO84:AO87" si="22">ROUNDDOWN(AM84*AJ84+AN84,2)</f>
        <v>1.03</v>
      </c>
      <c r="AP84" s="17">
        <f t="shared" si="20"/>
        <v>1.03</v>
      </c>
    </row>
    <row r="85" spans="31:42">
      <c r="AE85" s="2">
        <v>10</v>
      </c>
      <c r="AF85" s="2" t="s">
        <v>6</v>
      </c>
      <c r="AG85" s="15" t="s">
        <v>0</v>
      </c>
      <c r="AH85" s="2" t="s">
        <v>125</v>
      </c>
      <c r="AI85" s="2" t="str">
        <f t="shared" si="10"/>
        <v>10冷房店舗導入予定設備</v>
      </c>
      <c r="AJ85" s="33">
        <v>0.36399999999999999</v>
      </c>
      <c r="AK85" s="17">
        <v>0.96</v>
      </c>
      <c r="AL85" s="17">
        <v>1.07</v>
      </c>
      <c r="AM85" s="2">
        <v>-0.14000000000000001</v>
      </c>
      <c r="AN85" s="2">
        <v>1.1399999999999999</v>
      </c>
      <c r="AO85" s="16">
        <f t="shared" si="22"/>
        <v>1.08</v>
      </c>
      <c r="AP85" s="17">
        <f t="shared" si="20"/>
        <v>1.07</v>
      </c>
    </row>
    <row r="86" spans="31:42">
      <c r="AE86" s="2">
        <v>10</v>
      </c>
      <c r="AF86" s="2" t="s">
        <v>7</v>
      </c>
      <c r="AG86" s="15" t="s">
        <v>0</v>
      </c>
      <c r="AH86" s="2" t="s">
        <v>122</v>
      </c>
      <c r="AI86" s="2" t="str">
        <f t="shared" si="10"/>
        <v>10冷房事務所既存設備</v>
      </c>
      <c r="AJ86" s="33">
        <v>6.0999999999999999E-2</v>
      </c>
      <c r="AK86" s="17">
        <v>0.93</v>
      </c>
      <c r="AL86" s="17">
        <v>1.03</v>
      </c>
      <c r="AM86" s="2">
        <v>-0.06</v>
      </c>
      <c r="AN86" s="2">
        <v>1.06</v>
      </c>
      <c r="AO86" s="16">
        <f t="shared" si="22"/>
        <v>1.05</v>
      </c>
      <c r="AP86" s="17">
        <f t="shared" si="20"/>
        <v>0.93</v>
      </c>
    </row>
    <row r="87" spans="31:42">
      <c r="AE87" s="2">
        <v>10</v>
      </c>
      <c r="AF87" s="2" t="s">
        <v>7</v>
      </c>
      <c r="AG87" s="15" t="s">
        <v>0</v>
      </c>
      <c r="AH87" s="2" t="s">
        <v>125</v>
      </c>
      <c r="AI87" s="2" t="str">
        <f t="shared" si="10"/>
        <v>10冷房事務所導入予定設備</v>
      </c>
      <c r="AJ87" s="33">
        <v>6.0999999999999999E-2</v>
      </c>
      <c r="AK87" s="17">
        <v>0.96</v>
      </c>
      <c r="AL87" s="17">
        <v>1.07</v>
      </c>
      <c r="AM87" s="2">
        <v>-0.14000000000000001</v>
      </c>
      <c r="AN87" s="2">
        <v>1.1399999999999999</v>
      </c>
      <c r="AO87" s="16">
        <f t="shared" si="22"/>
        <v>1.1299999999999999</v>
      </c>
      <c r="AP87" s="17">
        <f t="shared" si="20"/>
        <v>0.96</v>
      </c>
    </row>
    <row r="88" spans="31:42">
      <c r="AE88" s="2">
        <v>11</v>
      </c>
      <c r="AF88" s="2" t="s">
        <v>6</v>
      </c>
      <c r="AG88" s="26" t="s">
        <v>1</v>
      </c>
      <c r="AH88" s="2" t="s">
        <v>122</v>
      </c>
      <c r="AI88" s="2" t="str">
        <f t="shared" ref="AI88:AI151" si="23">AE88&amp;AG88&amp;AF88&amp;AH88</f>
        <v>11暖房店舗既存設備</v>
      </c>
      <c r="AJ88" s="33">
        <v>0.154</v>
      </c>
      <c r="AK88" s="17">
        <v>0.9</v>
      </c>
      <c r="AL88" s="17">
        <v>1</v>
      </c>
      <c r="AM88" s="2"/>
      <c r="AN88" s="2"/>
      <c r="AO88" s="17">
        <v>1</v>
      </c>
      <c r="AP88" s="17">
        <f t="shared" si="20"/>
        <v>0.9</v>
      </c>
    </row>
    <row r="89" spans="31:42">
      <c r="AE89" s="2">
        <v>11</v>
      </c>
      <c r="AF89" s="2" t="s">
        <v>6</v>
      </c>
      <c r="AG89" s="26" t="s">
        <v>1</v>
      </c>
      <c r="AH89" s="2" t="s">
        <v>125</v>
      </c>
      <c r="AI89" s="2" t="str">
        <f t="shared" si="23"/>
        <v>11暖房店舗導入予定設備</v>
      </c>
      <c r="AJ89" s="33">
        <v>0.154</v>
      </c>
      <c r="AK89" s="17">
        <v>0.9</v>
      </c>
      <c r="AL89" s="17">
        <v>1</v>
      </c>
      <c r="AM89" s="2"/>
      <c r="AN89" s="2"/>
      <c r="AO89" s="17">
        <v>1</v>
      </c>
      <c r="AP89" s="17">
        <f t="shared" si="20"/>
        <v>0.9</v>
      </c>
    </row>
    <row r="90" spans="31:42">
      <c r="AE90" s="2">
        <v>11</v>
      </c>
      <c r="AF90" s="2" t="s">
        <v>7</v>
      </c>
      <c r="AG90" s="26" t="s">
        <v>1</v>
      </c>
      <c r="AH90" s="2" t="s">
        <v>122</v>
      </c>
      <c r="AI90" s="2" t="str">
        <f t="shared" si="23"/>
        <v>11暖房事務所既存設備</v>
      </c>
      <c r="AJ90" s="33">
        <v>0.20599999999999999</v>
      </c>
      <c r="AK90" s="17">
        <v>0.9</v>
      </c>
      <c r="AL90" s="17">
        <v>1</v>
      </c>
      <c r="AM90" s="2"/>
      <c r="AN90" s="2"/>
      <c r="AO90" s="17">
        <v>1</v>
      </c>
      <c r="AP90" s="17">
        <f t="shared" si="20"/>
        <v>0.9</v>
      </c>
    </row>
    <row r="91" spans="31:42">
      <c r="AE91" s="2">
        <v>11</v>
      </c>
      <c r="AF91" s="2" t="s">
        <v>7</v>
      </c>
      <c r="AG91" s="26" t="s">
        <v>1</v>
      </c>
      <c r="AH91" s="2" t="s">
        <v>125</v>
      </c>
      <c r="AI91" s="2" t="str">
        <f t="shared" si="23"/>
        <v>11暖房事務所導入予定設備</v>
      </c>
      <c r="AJ91" s="33">
        <v>0.20599999999999999</v>
      </c>
      <c r="AK91" s="17">
        <v>0.9</v>
      </c>
      <c r="AL91" s="17">
        <v>1</v>
      </c>
      <c r="AM91" s="2"/>
      <c r="AN91" s="2"/>
      <c r="AO91" s="17">
        <v>1</v>
      </c>
      <c r="AP91" s="17">
        <f t="shared" si="20"/>
        <v>0.9</v>
      </c>
    </row>
    <row r="92" spans="31:42">
      <c r="AE92" s="2">
        <v>11</v>
      </c>
      <c r="AF92" s="2" t="s">
        <v>6</v>
      </c>
      <c r="AG92" s="15" t="s">
        <v>0</v>
      </c>
      <c r="AH92" s="2" t="s">
        <v>122</v>
      </c>
      <c r="AI92" s="2" t="str">
        <f t="shared" si="23"/>
        <v>11冷房店舗既存設備</v>
      </c>
      <c r="AJ92" s="33">
        <v>0</v>
      </c>
      <c r="AK92" s="17">
        <v>0.93</v>
      </c>
      <c r="AL92" s="17">
        <v>1.03</v>
      </c>
      <c r="AM92" s="2">
        <v>-0.06</v>
      </c>
      <c r="AN92" s="2">
        <v>1.06</v>
      </c>
      <c r="AO92" s="16">
        <f t="shared" ref="AO92:AO95" si="24">ROUNDDOWN(AM92*AJ92+AN92,2)</f>
        <v>1.06</v>
      </c>
      <c r="AP92" s="17">
        <f t="shared" si="20"/>
        <v>0.93</v>
      </c>
    </row>
    <row r="93" spans="31:42">
      <c r="AE93" s="2">
        <v>11</v>
      </c>
      <c r="AF93" s="2" t="s">
        <v>6</v>
      </c>
      <c r="AG93" s="15" t="s">
        <v>0</v>
      </c>
      <c r="AH93" s="2" t="s">
        <v>125</v>
      </c>
      <c r="AI93" s="2" t="str">
        <f t="shared" si="23"/>
        <v>11冷房店舗導入予定設備</v>
      </c>
      <c r="AJ93" s="33">
        <v>0</v>
      </c>
      <c r="AK93" s="17">
        <v>0.96</v>
      </c>
      <c r="AL93" s="17">
        <v>1.07</v>
      </c>
      <c r="AM93" s="2">
        <v>-0.14000000000000001</v>
      </c>
      <c r="AN93" s="2">
        <v>1.1399999999999999</v>
      </c>
      <c r="AO93" s="16">
        <f t="shared" si="24"/>
        <v>1.1399999999999999</v>
      </c>
      <c r="AP93" s="17">
        <f t="shared" si="20"/>
        <v>0.96</v>
      </c>
    </row>
    <row r="94" spans="31:42">
      <c r="AE94" s="2">
        <v>11</v>
      </c>
      <c r="AF94" s="2" t="s">
        <v>7</v>
      </c>
      <c r="AG94" s="15" t="s">
        <v>0</v>
      </c>
      <c r="AH94" s="2" t="s">
        <v>122</v>
      </c>
      <c r="AI94" s="2" t="str">
        <f t="shared" si="23"/>
        <v>11冷房事務所既存設備</v>
      </c>
      <c r="AJ94" s="33">
        <v>0</v>
      </c>
      <c r="AK94" s="17">
        <v>0.93</v>
      </c>
      <c r="AL94" s="17">
        <v>1.03</v>
      </c>
      <c r="AM94" s="2">
        <v>-0.06</v>
      </c>
      <c r="AN94" s="2">
        <v>1.06</v>
      </c>
      <c r="AO94" s="16">
        <f t="shared" si="24"/>
        <v>1.06</v>
      </c>
      <c r="AP94" s="17">
        <f t="shared" si="20"/>
        <v>0.93</v>
      </c>
    </row>
    <row r="95" spans="31:42">
      <c r="AE95" s="2">
        <v>11</v>
      </c>
      <c r="AF95" s="2" t="s">
        <v>7</v>
      </c>
      <c r="AG95" s="15" t="s">
        <v>0</v>
      </c>
      <c r="AH95" s="2" t="s">
        <v>125</v>
      </c>
      <c r="AI95" s="2" t="str">
        <f t="shared" si="23"/>
        <v>11冷房事務所導入予定設備</v>
      </c>
      <c r="AJ95" s="33">
        <v>0</v>
      </c>
      <c r="AK95" s="17">
        <v>0.96</v>
      </c>
      <c r="AL95" s="17">
        <v>1.07</v>
      </c>
      <c r="AM95" s="2">
        <v>-0.14000000000000001</v>
      </c>
      <c r="AN95" s="2">
        <v>1.1399999999999999</v>
      </c>
      <c r="AO95" s="16">
        <f t="shared" si="24"/>
        <v>1.1399999999999999</v>
      </c>
      <c r="AP95" s="17">
        <f t="shared" si="20"/>
        <v>0.96</v>
      </c>
    </row>
    <row r="96" spans="31:42">
      <c r="AE96" s="2">
        <v>12</v>
      </c>
      <c r="AF96" s="2" t="s">
        <v>6</v>
      </c>
      <c r="AG96" s="26" t="s">
        <v>1</v>
      </c>
      <c r="AH96" s="2" t="s">
        <v>122</v>
      </c>
      <c r="AI96" s="2" t="str">
        <f t="shared" si="23"/>
        <v>12暖房店舗既存設備</v>
      </c>
      <c r="AJ96" s="33">
        <v>0.371</v>
      </c>
      <c r="AK96" s="17">
        <v>0.9</v>
      </c>
      <c r="AL96" s="17">
        <v>1</v>
      </c>
      <c r="AM96" s="2"/>
      <c r="AN96" s="2"/>
      <c r="AO96" s="17">
        <v>1</v>
      </c>
      <c r="AP96" s="17">
        <f t="shared" si="20"/>
        <v>1</v>
      </c>
    </row>
    <row r="97" spans="31:42">
      <c r="AE97" s="2">
        <v>12</v>
      </c>
      <c r="AF97" s="2" t="s">
        <v>6</v>
      </c>
      <c r="AG97" s="26" t="s">
        <v>1</v>
      </c>
      <c r="AH97" s="2" t="s">
        <v>125</v>
      </c>
      <c r="AI97" s="2" t="str">
        <f t="shared" si="23"/>
        <v>12暖房店舗導入予定設備</v>
      </c>
      <c r="AJ97" s="33">
        <v>0.371</v>
      </c>
      <c r="AK97" s="17">
        <v>0.9</v>
      </c>
      <c r="AL97" s="17">
        <v>1</v>
      </c>
      <c r="AM97" s="2"/>
      <c r="AN97" s="2"/>
      <c r="AO97" s="17">
        <v>1</v>
      </c>
      <c r="AP97" s="17">
        <f t="shared" si="20"/>
        <v>1</v>
      </c>
    </row>
    <row r="98" spans="31:42">
      <c r="AE98" s="2">
        <v>12</v>
      </c>
      <c r="AF98" s="2" t="s">
        <v>7</v>
      </c>
      <c r="AG98" s="26" t="s">
        <v>1</v>
      </c>
      <c r="AH98" s="2" t="s">
        <v>122</v>
      </c>
      <c r="AI98" s="2" t="str">
        <f t="shared" si="23"/>
        <v>12暖房事務所既存設備</v>
      </c>
      <c r="AJ98" s="33">
        <v>0.48599999999999999</v>
      </c>
      <c r="AK98" s="17">
        <v>0.9</v>
      </c>
      <c r="AL98" s="17">
        <v>1</v>
      </c>
      <c r="AM98" s="2"/>
      <c r="AN98" s="2"/>
      <c r="AO98" s="17">
        <v>1</v>
      </c>
      <c r="AP98" s="17">
        <f t="shared" si="20"/>
        <v>1</v>
      </c>
    </row>
    <row r="99" spans="31:42">
      <c r="AE99" s="2">
        <v>12</v>
      </c>
      <c r="AF99" s="2" t="s">
        <v>7</v>
      </c>
      <c r="AG99" s="26" t="s">
        <v>1</v>
      </c>
      <c r="AH99" s="2" t="s">
        <v>125</v>
      </c>
      <c r="AI99" s="2" t="str">
        <f t="shared" si="23"/>
        <v>12暖房事務所導入予定設備</v>
      </c>
      <c r="AJ99" s="33">
        <v>0.48599999999999999</v>
      </c>
      <c r="AK99" s="17">
        <v>0.9</v>
      </c>
      <c r="AL99" s="17">
        <v>1</v>
      </c>
      <c r="AM99" s="2"/>
      <c r="AN99" s="2"/>
      <c r="AO99" s="17">
        <v>1</v>
      </c>
      <c r="AP99" s="17">
        <f t="shared" si="20"/>
        <v>1</v>
      </c>
    </row>
    <row r="100" spans="31:42">
      <c r="AE100" s="2">
        <v>12</v>
      </c>
      <c r="AF100" s="2" t="s">
        <v>6</v>
      </c>
      <c r="AG100" s="15" t="s">
        <v>0</v>
      </c>
      <c r="AH100" s="2" t="s">
        <v>122</v>
      </c>
      <c r="AI100" s="2" t="str">
        <f t="shared" si="23"/>
        <v>12冷房店舗既存設備</v>
      </c>
      <c r="AJ100" s="33">
        <v>0</v>
      </c>
      <c r="AK100" s="17">
        <v>0.93</v>
      </c>
      <c r="AL100" s="17">
        <v>1.03</v>
      </c>
      <c r="AM100" s="2">
        <v>-0.06</v>
      </c>
      <c r="AN100" s="2">
        <v>1.06</v>
      </c>
      <c r="AO100" s="16">
        <f t="shared" ref="AO100:AO103" si="25">ROUNDDOWN(AM100*AJ100+AN100,2)</f>
        <v>1.06</v>
      </c>
      <c r="AP100" s="17">
        <f t="shared" si="20"/>
        <v>0.93</v>
      </c>
    </row>
    <row r="101" spans="31:42">
      <c r="AE101" s="2">
        <v>12</v>
      </c>
      <c r="AF101" s="2" t="s">
        <v>6</v>
      </c>
      <c r="AG101" s="15" t="s">
        <v>0</v>
      </c>
      <c r="AH101" s="2" t="s">
        <v>125</v>
      </c>
      <c r="AI101" s="2" t="str">
        <f t="shared" si="23"/>
        <v>12冷房店舗導入予定設備</v>
      </c>
      <c r="AJ101" s="33">
        <v>0</v>
      </c>
      <c r="AK101" s="17">
        <v>0.96</v>
      </c>
      <c r="AL101" s="17">
        <v>1.07</v>
      </c>
      <c r="AM101" s="2">
        <v>-0.14000000000000001</v>
      </c>
      <c r="AN101" s="2">
        <v>1.1399999999999999</v>
      </c>
      <c r="AO101" s="16">
        <f t="shared" si="25"/>
        <v>1.1399999999999999</v>
      </c>
      <c r="AP101" s="17">
        <f t="shared" si="20"/>
        <v>0.96</v>
      </c>
    </row>
    <row r="102" spans="31:42">
      <c r="AE102" s="2">
        <v>12</v>
      </c>
      <c r="AF102" s="2" t="s">
        <v>7</v>
      </c>
      <c r="AG102" s="15" t="s">
        <v>0</v>
      </c>
      <c r="AH102" s="2" t="s">
        <v>122</v>
      </c>
      <c r="AI102" s="2" t="str">
        <f t="shared" si="23"/>
        <v>12冷房事務所既存設備</v>
      </c>
      <c r="AJ102" s="33">
        <v>0</v>
      </c>
      <c r="AK102" s="17">
        <v>0.93</v>
      </c>
      <c r="AL102" s="17">
        <v>1.03</v>
      </c>
      <c r="AM102" s="2">
        <v>-0.06</v>
      </c>
      <c r="AN102" s="2">
        <v>1.06</v>
      </c>
      <c r="AO102" s="16">
        <f t="shared" si="25"/>
        <v>1.06</v>
      </c>
      <c r="AP102" s="17">
        <f t="shared" si="20"/>
        <v>0.93</v>
      </c>
    </row>
    <row r="103" spans="31:42">
      <c r="AE103" s="2">
        <v>12</v>
      </c>
      <c r="AF103" s="2" t="s">
        <v>7</v>
      </c>
      <c r="AG103" s="15" t="s">
        <v>0</v>
      </c>
      <c r="AH103" s="2" t="s">
        <v>125</v>
      </c>
      <c r="AI103" s="2" t="str">
        <f t="shared" si="23"/>
        <v>12冷房事務所導入予定設備</v>
      </c>
      <c r="AJ103" s="33">
        <v>0</v>
      </c>
      <c r="AK103" s="17">
        <v>0.96</v>
      </c>
      <c r="AL103" s="17">
        <v>1.07</v>
      </c>
      <c r="AM103" s="2">
        <v>-0.14000000000000001</v>
      </c>
      <c r="AN103" s="2">
        <v>1.1399999999999999</v>
      </c>
      <c r="AO103" s="16">
        <f t="shared" si="25"/>
        <v>1.1399999999999999</v>
      </c>
      <c r="AP103" s="17">
        <f t="shared" si="20"/>
        <v>0.96</v>
      </c>
    </row>
    <row r="104" spans="31:42">
      <c r="AE104" s="29">
        <v>1</v>
      </c>
      <c r="AF104" s="74" t="s">
        <v>220</v>
      </c>
      <c r="AG104" s="26" t="s">
        <v>1</v>
      </c>
      <c r="AH104" s="29" t="s">
        <v>122</v>
      </c>
      <c r="AI104" s="29" t="str">
        <f t="shared" si="23"/>
        <v>1暖房その他既存設備</v>
      </c>
      <c r="AJ104" s="33">
        <f>既存設備!M44</f>
        <v>0.56200000000000006</v>
      </c>
      <c r="AK104" s="17">
        <v>0.9</v>
      </c>
      <c r="AL104" s="17">
        <v>1</v>
      </c>
      <c r="AM104" s="29"/>
      <c r="AN104" s="29"/>
      <c r="AO104" s="17">
        <v>1</v>
      </c>
      <c r="AP104" s="17">
        <f t="shared" ref="AP104:AP105" si="26">IF(AJ104&gt;=0.5,AO104,IF(AJ104&gt;=0.3,AL104,AK104))</f>
        <v>1</v>
      </c>
    </row>
    <row r="105" spans="31:42">
      <c r="AE105" s="29">
        <v>1</v>
      </c>
      <c r="AF105" s="74" t="s">
        <v>220</v>
      </c>
      <c r="AG105" s="26" t="s">
        <v>1</v>
      </c>
      <c r="AH105" s="29" t="s">
        <v>125</v>
      </c>
      <c r="AI105" s="29" t="str">
        <f t="shared" si="23"/>
        <v>1暖房その他導入予定設備</v>
      </c>
      <c r="AJ105" s="33">
        <f>導入予定設備!M44</f>
        <v>0.56200000000000006</v>
      </c>
      <c r="AK105" s="17">
        <v>0.9</v>
      </c>
      <c r="AL105" s="17">
        <v>1</v>
      </c>
      <c r="AM105" s="29"/>
      <c r="AN105" s="29"/>
      <c r="AO105" s="17">
        <v>1</v>
      </c>
      <c r="AP105" s="17">
        <f t="shared" si="26"/>
        <v>1</v>
      </c>
    </row>
    <row r="106" spans="31:42">
      <c r="AE106" s="29">
        <v>1</v>
      </c>
      <c r="AF106" s="74" t="s">
        <v>220</v>
      </c>
      <c r="AG106" s="26" t="s">
        <v>0</v>
      </c>
      <c r="AH106" s="29" t="s">
        <v>122</v>
      </c>
      <c r="AI106" s="29" t="str">
        <f t="shared" si="23"/>
        <v>1冷房その他既存設備</v>
      </c>
      <c r="AJ106" s="33">
        <f>既存設備!M44</f>
        <v>0.56200000000000006</v>
      </c>
      <c r="AK106" s="17">
        <v>0.93</v>
      </c>
      <c r="AL106" s="17">
        <v>1.03</v>
      </c>
      <c r="AM106" s="29">
        <v>-0.06</v>
      </c>
      <c r="AN106" s="29">
        <v>1.06</v>
      </c>
      <c r="AO106" s="16">
        <f t="shared" ref="AO106:AO107" si="27">ROUNDDOWN(AM106*AJ106+AN106,2)</f>
        <v>1.02</v>
      </c>
      <c r="AP106" s="17">
        <f t="shared" ref="AP106:AP109" si="28">IF(AJ106&gt;=0.5,AO106,IF(AJ106&gt;=0.3,AL106,AK106))</f>
        <v>1.02</v>
      </c>
    </row>
    <row r="107" spans="31:42">
      <c r="AE107" s="29">
        <v>1</v>
      </c>
      <c r="AF107" s="74" t="s">
        <v>220</v>
      </c>
      <c r="AG107" s="26" t="s">
        <v>0</v>
      </c>
      <c r="AH107" s="29" t="s">
        <v>125</v>
      </c>
      <c r="AI107" s="29" t="str">
        <f t="shared" si="23"/>
        <v>1冷房その他導入予定設備</v>
      </c>
      <c r="AJ107" s="33">
        <f>導入予定設備!M45</f>
        <v>0.56200000000000006</v>
      </c>
      <c r="AK107" s="17">
        <v>0.96</v>
      </c>
      <c r="AL107" s="17">
        <v>1.07</v>
      </c>
      <c r="AM107" s="29">
        <v>-0.14000000000000001</v>
      </c>
      <c r="AN107" s="29">
        <v>1.1399999999999999</v>
      </c>
      <c r="AO107" s="16">
        <f t="shared" si="27"/>
        <v>1.06</v>
      </c>
      <c r="AP107" s="17">
        <f t="shared" si="28"/>
        <v>1.06</v>
      </c>
    </row>
    <row r="108" spans="31:42">
      <c r="AE108" s="74">
        <v>2</v>
      </c>
      <c r="AF108" s="74" t="s">
        <v>220</v>
      </c>
      <c r="AG108" s="26" t="s">
        <v>1</v>
      </c>
      <c r="AH108" s="29" t="s">
        <v>122</v>
      </c>
      <c r="AI108" s="29" t="str">
        <f t="shared" si="23"/>
        <v>2暖房その他既存設備</v>
      </c>
      <c r="AJ108" s="33">
        <f>既存設備!M45</f>
        <v>0.56200000000000006</v>
      </c>
      <c r="AK108" s="17">
        <v>0.9</v>
      </c>
      <c r="AL108" s="17">
        <v>1</v>
      </c>
      <c r="AM108" s="29"/>
      <c r="AN108" s="29"/>
      <c r="AO108" s="17">
        <v>1</v>
      </c>
      <c r="AP108" s="17">
        <f t="shared" si="28"/>
        <v>1</v>
      </c>
    </row>
    <row r="109" spans="31:42">
      <c r="AE109" s="74">
        <v>2</v>
      </c>
      <c r="AF109" s="74" t="s">
        <v>220</v>
      </c>
      <c r="AG109" s="26" t="s">
        <v>1</v>
      </c>
      <c r="AH109" s="29" t="s">
        <v>125</v>
      </c>
      <c r="AI109" s="29" t="str">
        <f t="shared" si="23"/>
        <v>2暖房その他導入予定設備</v>
      </c>
      <c r="AJ109" s="33">
        <f>導入予定設備!M45</f>
        <v>0.56200000000000006</v>
      </c>
      <c r="AK109" s="17">
        <v>0.9</v>
      </c>
      <c r="AL109" s="17">
        <v>1</v>
      </c>
      <c r="AM109" s="29"/>
      <c r="AN109" s="29"/>
      <c r="AO109" s="17">
        <v>1</v>
      </c>
      <c r="AP109" s="17">
        <f t="shared" si="28"/>
        <v>1</v>
      </c>
    </row>
    <row r="110" spans="31:42">
      <c r="AE110" s="74">
        <v>2</v>
      </c>
      <c r="AF110" s="74" t="s">
        <v>220</v>
      </c>
      <c r="AG110" s="26" t="s">
        <v>0</v>
      </c>
      <c r="AH110" s="29" t="s">
        <v>122</v>
      </c>
      <c r="AI110" s="29" t="str">
        <f t="shared" si="23"/>
        <v>2冷房その他既存設備</v>
      </c>
      <c r="AJ110" s="33">
        <f>既存設備!M45</f>
        <v>0.56200000000000006</v>
      </c>
      <c r="AK110" s="17">
        <v>0.93</v>
      </c>
      <c r="AL110" s="17">
        <v>1.03</v>
      </c>
      <c r="AM110" s="29">
        <v>-0.06</v>
      </c>
      <c r="AN110" s="29">
        <v>1.06</v>
      </c>
      <c r="AO110" s="16">
        <f t="shared" ref="AO110:AO111" si="29">ROUNDDOWN(AM110*AJ110+AN110,2)</f>
        <v>1.02</v>
      </c>
      <c r="AP110" s="17">
        <f t="shared" ref="AP110:AP113" si="30">IF(AJ110&gt;=0.5,AO110,IF(AJ110&gt;=0.3,AL110,AK110))</f>
        <v>1.02</v>
      </c>
    </row>
    <row r="111" spans="31:42">
      <c r="AE111" s="74">
        <v>2</v>
      </c>
      <c r="AF111" s="74" t="s">
        <v>220</v>
      </c>
      <c r="AG111" s="26" t="s">
        <v>0</v>
      </c>
      <c r="AH111" s="29" t="s">
        <v>125</v>
      </c>
      <c r="AI111" s="29" t="str">
        <f t="shared" si="23"/>
        <v>2冷房その他導入予定設備</v>
      </c>
      <c r="AJ111" s="33">
        <f>導入予定設備!M45</f>
        <v>0.56200000000000006</v>
      </c>
      <c r="AK111" s="17">
        <v>0.96</v>
      </c>
      <c r="AL111" s="17">
        <v>1.07</v>
      </c>
      <c r="AM111" s="29">
        <v>-0.14000000000000001</v>
      </c>
      <c r="AN111" s="29">
        <v>1.1399999999999999</v>
      </c>
      <c r="AO111" s="16">
        <f t="shared" si="29"/>
        <v>1.06</v>
      </c>
      <c r="AP111" s="17">
        <f t="shared" si="30"/>
        <v>1.06</v>
      </c>
    </row>
    <row r="112" spans="31:42">
      <c r="AE112" s="74">
        <v>3</v>
      </c>
      <c r="AF112" s="74" t="s">
        <v>220</v>
      </c>
      <c r="AG112" s="26" t="s">
        <v>1</v>
      </c>
      <c r="AH112" s="29" t="s">
        <v>122</v>
      </c>
      <c r="AI112" s="29" t="str">
        <f t="shared" si="23"/>
        <v>3暖房その他既存設備</v>
      </c>
      <c r="AJ112" s="33">
        <f>既存設備!M46</f>
        <v>0.27300000000000002</v>
      </c>
      <c r="AK112" s="17">
        <v>0.9</v>
      </c>
      <c r="AL112" s="17">
        <v>1</v>
      </c>
      <c r="AM112" s="29"/>
      <c r="AN112" s="29"/>
      <c r="AO112" s="17">
        <v>1</v>
      </c>
      <c r="AP112" s="17">
        <f t="shared" si="30"/>
        <v>0.9</v>
      </c>
    </row>
    <row r="113" spans="31:42">
      <c r="AE113" s="74">
        <v>3</v>
      </c>
      <c r="AF113" s="74" t="s">
        <v>220</v>
      </c>
      <c r="AG113" s="26" t="s">
        <v>1</v>
      </c>
      <c r="AH113" s="29" t="s">
        <v>125</v>
      </c>
      <c r="AI113" s="29" t="str">
        <f t="shared" si="23"/>
        <v>3暖房その他導入予定設備</v>
      </c>
      <c r="AJ113" s="33">
        <f>導入予定設備!M46</f>
        <v>0.27300000000000002</v>
      </c>
      <c r="AK113" s="17">
        <v>0.9</v>
      </c>
      <c r="AL113" s="17">
        <v>1</v>
      </c>
      <c r="AM113" s="29"/>
      <c r="AN113" s="29"/>
      <c r="AO113" s="17">
        <v>1</v>
      </c>
      <c r="AP113" s="17">
        <f t="shared" si="30"/>
        <v>0.9</v>
      </c>
    </row>
    <row r="114" spans="31:42">
      <c r="AE114" s="74">
        <v>3</v>
      </c>
      <c r="AF114" s="74" t="s">
        <v>220</v>
      </c>
      <c r="AG114" s="26" t="s">
        <v>0</v>
      </c>
      <c r="AH114" s="29" t="s">
        <v>122</v>
      </c>
      <c r="AI114" s="29" t="str">
        <f t="shared" si="23"/>
        <v>3冷房その他既存設備</v>
      </c>
      <c r="AJ114" s="33">
        <f>既存設備!M46</f>
        <v>0.27300000000000002</v>
      </c>
      <c r="AK114" s="17">
        <v>0.93</v>
      </c>
      <c r="AL114" s="17">
        <v>1.03</v>
      </c>
      <c r="AM114" s="29">
        <v>-0.06</v>
      </c>
      <c r="AN114" s="29">
        <v>1.06</v>
      </c>
      <c r="AO114" s="16">
        <f t="shared" ref="AO114:AO115" si="31">ROUNDDOWN(AM114*AJ114+AN114,2)</f>
        <v>1.04</v>
      </c>
      <c r="AP114" s="17">
        <f t="shared" ref="AP114:AP117" si="32">IF(AJ114&gt;=0.5,AO114,IF(AJ114&gt;=0.3,AL114,AK114))</f>
        <v>0.93</v>
      </c>
    </row>
    <row r="115" spans="31:42">
      <c r="AE115" s="74">
        <v>3</v>
      </c>
      <c r="AF115" s="74" t="s">
        <v>220</v>
      </c>
      <c r="AG115" s="26" t="s">
        <v>0</v>
      </c>
      <c r="AH115" s="29" t="s">
        <v>125</v>
      </c>
      <c r="AI115" s="29" t="str">
        <f t="shared" si="23"/>
        <v>3冷房その他導入予定設備</v>
      </c>
      <c r="AJ115" s="33">
        <f>導入予定設備!M46</f>
        <v>0.27300000000000002</v>
      </c>
      <c r="AK115" s="17">
        <v>0.96</v>
      </c>
      <c r="AL115" s="17">
        <v>1.07</v>
      </c>
      <c r="AM115" s="29">
        <v>-0.14000000000000001</v>
      </c>
      <c r="AN115" s="29">
        <v>1.1399999999999999</v>
      </c>
      <c r="AO115" s="16">
        <f t="shared" si="31"/>
        <v>1.1000000000000001</v>
      </c>
      <c r="AP115" s="17">
        <f t="shared" si="32"/>
        <v>0.96</v>
      </c>
    </row>
    <row r="116" spans="31:42">
      <c r="AE116" s="74">
        <v>4</v>
      </c>
      <c r="AF116" s="74" t="s">
        <v>220</v>
      </c>
      <c r="AG116" s="26" t="s">
        <v>1</v>
      </c>
      <c r="AH116" s="29" t="s">
        <v>122</v>
      </c>
      <c r="AI116" s="29" t="str">
        <f t="shared" si="23"/>
        <v>4暖房その他既存設備</v>
      </c>
      <c r="AJ116" s="33">
        <f>既存設備!M35</f>
        <v>0.16</v>
      </c>
      <c r="AK116" s="17">
        <v>0.9</v>
      </c>
      <c r="AL116" s="17">
        <v>1</v>
      </c>
      <c r="AM116" s="29"/>
      <c r="AN116" s="29"/>
      <c r="AO116" s="17">
        <v>1</v>
      </c>
      <c r="AP116" s="17">
        <f t="shared" si="32"/>
        <v>0.9</v>
      </c>
    </row>
    <row r="117" spans="31:42">
      <c r="AE117" s="74">
        <v>4</v>
      </c>
      <c r="AF117" s="74" t="s">
        <v>220</v>
      </c>
      <c r="AG117" s="26" t="s">
        <v>1</v>
      </c>
      <c r="AH117" s="29" t="s">
        <v>125</v>
      </c>
      <c r="AI117" s="29" t="str">
        <f t="shared" si="23"/>
        <v>4暖房その他導入予定設備</v>
      </c>
      <c r="AJ117" s="33">
        <f>導入予定設備!M35</f>
        <v>0.16</v>
      </c>
      <c r="AK117" s="17">
        <v>0.9</v>
      </c>
      <c r="AL117" s="17">
        <v>1</v>
      </c>
      <c r="AM117" s="29"/>
      <c r="AN117" s="29"/>
      <c r="AO117" s="17">
        <v>1</v>
      </c>
      <c r="AP117" s="17">
        <f t="shared" si="32"/>
        <v>0.9</v>
      </c>
    </row>
    <row r="118" spans="31:42">
      <c r="AE118" s="74">
        <v>4</v>
      </c>
      <c r="AF118" s="74" t="s">
        <v>220</v>
      </c>
      <c r="AG118" s="26" t="s">
        <v>0</v>
      </c>
      <c r="AH118" s="29" t="s">
        <v>122</v>
      </c>
      <c r="AI118" s="29" t="str">
        <f t="shared" si="23"/>
        <v>4冷房その他既存設備</v>
      </c>
      <c r="AJ118" s="33">
        <f>既存設備!M35</f>
        <v>0.16</v>
      </c>
      <c r="AK118" s="17">
        <v>0.93</v>
      </c>
      <c r="AL118" s="17">
        <v>1.03</v>
      </c>
      <c r="AM118" s="29">
        <v>-0.06</v>
      </c>
      <c r="AN118" s="29">
        <v>1.06</v>
      </c>
      <c r="AO118" s="16">
        <f t="shared" ref="AO118:AO119" si="33">ROUNDDOWN(AM118*AJ118+AN118,2)</f>
        <v>1.05</v>
      </c>
      <c r="AP118" s="17">
        <f t="shared" ref="AP118:AP121" si="34">IF(AJ118&gt;=0.5,AO118,IF(AJ118&gt;=0.3,AL118,AK118))</f>
        <v>0.93</v>
      </c>
    </row>
    <row r="119" spans="31:42">
      <c r="AE119" s="74">
        <v>4</v>
      </c>
      <c r="AF119" s="74" t="s">
        <v>220</v>
      </c>
      <c r="AG119" s="26" t="s">
        <v>0</v>
      </c>
      <c r="AH119" s="29" t="s">
        <v>125</v>
      </c>
      <c r="AI119" s="29" t="str">
        <f t="shared" si="23"/>
        <v>4冷房その他導入予定設備</v>
      </c>
      <c r="AJ119" s="33">
        <f>導入予定設備!M35</f>
        <v>0.16</v>
      </c>
      <c r="AK119" s="17">
        <v>0.96</v>
      </c>
      <c r="AL119" s="17">
        <v>1.07</v>
      </c>
      <c r="AM119" s="29">
        <v>-0.14000000000000001</v>
      </c>
      <c r="AN119" s="29">
        <v>1.1399999999999999</v>
      </c>
      <c r="AO119" s="16">
        <f t="shared" si="33"/>
        <v>1.1100000000000001</v>
      </c>
      <c r="AP119" s="17">
        <f t="shared" si="34"/>
        <v>0.96</v>
      </c>
    </row>
    <row r="120" spans="31:42">
      <c r="AE120" s="74">
        <v>5</v>
      </c>
      <c r="AF120" s="74" t="s">
        <v>220</v>
      </c>
      <c r="AG120" s="26" t="s">
        <v>1</v>
      </c>
      <c r="AH120" s="29" t="s">
        <v>122</v>
      </c>
      <c r="AI120" s="29" t="str">
        <f t="shared" si="23"/>
        <v>5暖房その他既存設備</v>
      </c>
      <c r="AJ120" s="33">
        <f>既存設備!M36</f>
        <v>0.29599999999999999</v>
      </c>
      <c r="AK120" s="17">
        <v>0.9</v>
      </c>
      <c r="AL120" s="17">
        <v>1</v>
      </c>
      <c r="AM120" s="29"/>
      <c r="AN120" s="29"/>
      <c r="AO120" s="17">
        <v>1</v>
      </c>
      <c r="AP120" s="17">
        <f t="shared" si="34"/>
        <v>0.9</v>
      </c>
    </row>
    <row r="121" spans="31:42">
      <c r="AE121" s="74">
        <v>5</v>
      </c>
      <c r="AF121" s="74" t="s">
        <v>220</v>
      </c>
      <c r="AG121" s="26" t="s">
        <v>1</v>
      </c>
      <c r="AH121" s="29" t="s">
        <v>125</v>
      </c>
      <c r="AI121" s="29" t="str">
        <f t="shared" si="23"/>
        <v>5暖房その他導入予定設備</v>
      </c>
      <c r="AJ121" s="33">
        <f>導入予定設備!M36</f>
        <v>0.29599999999999999</v>
      </c>
      <c r="AK121" s="17">
        <v>0.9</v>
      </c>
      <c r="AL121" s="17">
        <v>1</v>
      </c>
      <c r="AM121" s="29"/>
      <c r="AN121" s="29"/>
      <c r="AO121" s="17">
        <v>1</v>
      </c>
      <c r="AP121" s="17">
        <f t="shared" si="34"/>
        <v>0.9</v>
      </c>
    </row>
    <row r="122" spans="31:42">
      <c r="AE122" s="74">
        <v>5</v>
      </c>
      <c r="AF122" s="74" t="s">
        <v>220</v>
      </c>
      <c r="AG122" s="26" t="s">
        <v>0</v>
      </c>
      <c r="AH122" s="29" t="s">
        <v>122</v>
      </c>
      <c r="AI122" s="29" t="str">
        <f t="shared" si="23"/>
        <v>5冷房その他既存設備</v>
      </c>
      <c r="AJ122" s="33">
        <f>既存設備!M36</f>
        <v>0.29599999999999999</v>
      </c>
      <c r="AK122" s="17">
        <v>0.93</v>
      </c>
      <c r="AL122" s="17">
        <v>1.03</v>
      </c>
      <c r="AM122" s="29">
        <v>-0.06</v>
      </c>
      <c r="AN122" s="29">
        <v>1.06</v>
      </c>
      <c r="AO122" s="16">
        <f t="shared" ref="AO122:AO123" si="35">ROUNDDOWN(AM122*AJ122+AN122,2)</f>
        <v>1.04</v>
      </c>
      <c r="AP122" s="17">
        <f t="shared" ref="AP122:AP125" si="36">IF(AJ122&gt;=0.5,AO122,IF(AJ122&gt;=0.3,AL122,AK122))</f>
        <v>0.93</v>
      </c>
    </row>
    <row r="123" spans="31:42">
      <c r="AE123" s="74">
        <v>5</v>
      </c>
      <c r="AF123" s="74" t="s">
        <v>220</v>
      </c>
      <c r="AG123" s="26" t="s">
        <v>0</v>
      </c>
      <c r="AH123" s="29" t="s">
        <v>125</v>
      </c>
      <c r="AI123" s="29" t="str">
        <f t="shared" si="23"/>
        <v>5冷房その他導入予定設備</v>
      </c>
      <c r="AJ123" s="33">
        <f>導入予定設備!M36</f>
        <v>0.29599999999999999</v>
      </c>
      <c r="AK123" s="17">
        <v>0.96</v>
      </c>
      <c r="AL123" s="17">
        <v>1.07</v>
      </c>
      <c r="AM123" s="29">
        <v>-0.14000000000000001</v>
      </c>
      <c r="AN123" s="29">
        <v>1.1399999999999999</v>
      </c>
      <c r="AO123" s="16">
        <f t="shared" si="35"/>
        <v>1.0900000000000001</v>
      </c>
      <c r="AP123" s="17">
        <f t="shared" si="36"/>
        <v>0.96</v>
      </c>
    </row>
    <row r="124" spans="31:42">
      <c r="AE124" s="74">
        <v>6</v>
      </c>
      <c r="AF124" s="74" t="s">
        <v>220</v>
      </c>
      <c r="AG124" s="26" t="s">
        <v>1</v>
      </c>
      <c r="AH124" s="29" t="s">
        <v>122</v>
      </c>
      <c r="AI124" s="29" t="str">
        <f t="shared" si="23"/>
        <v>6暖房その他既存設備</v>
      </c>
      <c r="AJ124" s="33">
        <f>既存設備!M37</f>
        <v>0.435</v>
      </c>
      <c r="AK124" s="17">
        <v>0.9</v>
      </c>
      <c r="AL124" s="17">
        <v>1</v>
      </c>
      <c r="AM124" s="29"/>
      <c r="AN124" s="29"/>
      <c r="AO124" s="17">
        <v>1</v>
      </c>
      <c r="AP124" s="17">
        <f t="shared" si="36"/>
        <v>1</v>
      </c>
    </row>
    <row r="125" spans="31:42">
      <c r="AE125" s="74">
        <v>6</v>
      </c>
      <c r="AF125" s="74" t="s">
        <v>220</v>
      </c>
      <c r="AG125" s="26" t="s">
        <v>1</v>
      </c>
      <c r="AH125" s="29" t="s">
        <v>125</v>
      </c>
      <c r="AI125" s="29" t="str">
        <f t="shared" si="23"/>
        <v>6暖房その他導入予定設備</v>
      </c>
      <c r="AJ125" s="33">
        <f>導入予定設備!M37</f>
        <v>0.435</v>
      </c>
      <c r="AK125" s="17">
        <v>0.9</v>
      </c>
      <c r="AL125" s="17">
        <v>1</v>
      </c>
      <c r="AM125" s="29"/>
      <c r="AN125" s="29"/>
      <c r="AO125" s="17">
        <v>1</v>
      </c>
      <c r="AP125" s="17">
        <f t="shared" si="36"/>
        <v>1</v>
      </c>
    </row>
    <row r="126" spans="31:42">
      <c r="AE126" s="74">
        <v>6</v>
      </c>
      <c r="AF126" s="74" t="s">
        <v>220</v>
      </c>
      <c r="AG126" s="26" t="s">
        <v>0</v>
      </c>
      <c r="AH126" s="29" t="s">
        <v>122</v>
      </c>
      <c r="AI126" s="29" t="str">
        <f t="shared" si="23"/>
        <v>6冷房その他既存設備</v>
      </c>
      <c r="AJ126" s="33">
        <f>既存設備!M37</f>
        <v>0.435</v>
      </c>
      <c r="AK126" s="17">
        <v>0.93</v>
      </c>
      <c r="AL126" s="17">
        <v>1.03</v>
      </c>
      <c r="AM126" s="29">
        <v>-0.06</v>
      </c>
      <c r="AN126" s="29">
        <v>1.06</v>
      </c>
      <c r="AO126" s="16">
        <f t="shared" ref="AO126:AO127" si="37">ROUNDDOWN(AM126*AJ126+AN126,2)</f>
        <v>1.03</v>
      </c>
      <c r="AP126" s="17">
        <f t="shared" ref="AP126:AP129" si="38">IF(AJ126&gt;=0.5,AO126,IF(AJ126&gt;=0.3,AL126,AK126))</f>
        <v>1.03</v>
      </c>
    </row>
    <row r="127" spans="31:42">
      <c r="AE127" s="74">
        <v>6</v>
      </c>
      <c r="AF127" s="74" t="s">
        <v>220</v>
      </c>
      <c r="AG127" s="26" t="s">
        <v>0</v>
      </c>
      <c r="AH127" s="29" t="s">
        <v>125</v>
      </c>
      <c r="AI127" s="29" t="str">
        <f t="shared" si="23"/>
        <v>6冷房その他導入予定設備</v>
      </c>
      <c r="AJ127" s="33">
        <f>導入予定設備!M37</f>
        <v>0.435</v>
      </c>
      <c r="AK127" s="17">
        <v>0.96</v>
      </c>
      <c r="AL127" s="17">
        <v>1.07</v>
      </c>
      <c r="AM127" s="29">
        <v>-0.14000000000000001</v>
      </c>
      <c r="AN127" s="29">
        <v>1.1399999999999999</v>
      </c>
      <c r="AO127" s="16">
        <f t="shared" si="37"/>
        <v>1.07</v>
      </c>
      <c r="AP127" s="17">
        <f t="shared" si="38"/>
        <v>1.07</v>
      </c>
    </row>
    <row r="128" spans="31:42">
      <c r="AE128" s="74">
        <v>7</v>
      </c>
      <c r="AF128" s="74" t="s">
        <v>220</v>
      </c>
      <c r="AG128" s="26" t="s">
        <v>1</v>
      </c>
      <c r="AH128" s="29" t="s">
        <v>122</v>
      </c>
      <c r="AI128" s="29" t="str">
        <f t="shared" si="23"/>
        <v>7暖房その他既存設備</v>
      </c>
      <c r="AJ128" s="33">
        <f>既存設備!M38</f>
        <v>0.64100000000000001</v>
      </c>
      <c r="AK128" s="17">
        <v>0.9</v>
      </c>
      <c r="AL128" s="17">
        <v>1</v>
      </c>
      <c r="AM128" s="29"/>
      <c r="AN128" s="29"/>
      <c r="AO128" s="17">
        <v>1</v>
      </c>
      <c r="AP128" s="17">
        <f t="shared" si="38"/>
        <v>1</v>
      </c>
    </row>
    <row r="129" spans="31:42">
      <c r="AE129" s="74">
        <v>7</v>
      </c>
      <c r="AF129" s="74" t="s">
        <v>220</v>
      </c>
      <c r="AG129" s="26" t="s">
        <v>1</v>
      </c>
      <c r="AH129" s="29" t="s">
        <v>125</v>
      </c>
      <c r="AI129" s="29" t="str">
        <f t="shared" si="23"/>
        <v>7暖房その他導入予定設備</v>
      </c>
      <c r="AJ129" s="33">
        <f>導入予定設備!M38</f>
        <v>0.64100000000000001</v>
      </c>
      <c r="AK129" s="17">
        <v>0.9</v>
      </c>
      <c r="AL129" s="17">
        <v>1</v>
      </c>
      <c r="AM129" s="29"/>
      <c r="AN129" s="29"/>
      <c r="AO129" s="17">
        <v>1</v>
      </c>
      <c r="AP129" s="17">
        <f t="shared" si="38"/>
        <v>1</v>
      </c>
    </row>
    <row r="130" spans="31:42">
      <c r="AE130" s="74">
        <v>7</v>
      </c>
      <c r="AF130" s="74" t="s">
        <v>220</v>
      </c>
      <c r="AG130" s="26" t="s">
        <v>0</v>
      </c>
      <c r="AH130" s="29" t="s">
        <v>122</v>
      </c>
      <c r="AI130" s="29" t="str">
        <f t="shared" si="23"/>
        <v>7冷房その他既存設備</v>
      </c>
      <c r="AJ130" s="33">
        <f>既存設備!M38</f>
        <v>0.64100000000000001</v>
      </c>
      <c r="AK130" s="17">
        <v>0.93</v>
      </c>
      <c r="AL130" s="17">
        <v>1.03</v>
      </c>
      <c r="AM130" s="29">
        <v>-0.06</v>
      </c>
      <c r="AN130" s="29">
        <v>1.06</v>
      </c>
      <c r="AO130" s="16">
        <f t="shared" ref="AO130:AO131" si="39">ROUNDDOWN(AM130*AJ130+AN130,2)</f>
        <v>1.02</v>
      </c>
      <c r="AP130" s="17">
        <f t="shared" ref="AP130:AP133" si="40">IF(AJ130&gt;=0.5,AO130,IF(AJ130&gt;=0.3,AL130,AK130))</f>
        <v>1.02</v>
      </c>
    </row>
    <row r="131" spans="31:42">
      <c r="AE131" s="74">
        <v>7</v>
      </c>
      <c r="AF131" s="74" t="s">
        <v>220</v>
      </c>
      <c r="AG131" s="26" t="s">
        <v>0</v>
      </c>
      <c r="AH131" s="29" t="s">
        <v>125</v>
      </c>
      <c r="AI131" s="29" t="str">
        <f t="shared" si="23"/>
        <v>7冷房その他導入予定設備</v>
      </c>
      <c r="AJ131" s="33">
        <f>導入予定設備!M38</f>
        <v>0.64100000000000001</v>
      </c>
      <c r="AK131" s="17">
        <v>0.96</v>
      </c>
      <c r="AL131" s="17">
        <v>1.07</v>
      </c>
      <c r="AM131" s="29">
        <v>-0.14000000000000001</v>
      </c>
      <c r="AN131" s="29">
        <v>1.1399999999999999</v>
      </c>
      <c r="AO131" s="16">
        <f t="shared" si="39"/>
        <v>1.05</v>
      </c>
      <c r="AP131" s="17">
        <f t="shared" si="40"/>
        <v>1.05</v>
      </c>
    </row>
    <row r="132" spans="31:42">
      <c r="AE132" s="74">
        <v>8</v>
      </c>
      <c r="AF132" s="74" t="s">
        <v>220</v>
      </c>
      <c r="AG132" s="26" t="s">
        <v>1</v>
      </c>
      <c r="AH132" s="29" t="s">
        <v>122</v>
      </c>
      <c r="AI132" s="29" t="str">
        <f t="shared" si="23"/>
        <v>8暖房その他既存設備</v>
      </c>
      <c r="AJ132" s="33">
        <f>既存設備!M39</f>
        <v>0.69299999999999995</v>
      </c>
      <c r="AK132" s="17">
        <v>0.9</v>
      </c>
      <c r="AL132" s="17">
        <v>1</v>
      </c>
      <c r="AM132" s="29"/>
      <c r="AN132" s="29"/>
      <c r="AO132" s="17">
        <v>1</v>
      </c>
      <c r="AP132" s="17">
        <f t="shared" si="40"/>
        <v>1</v>
      </c>
    </row>
    <row r="133" spans="31:42">
      <c r="AE133" s="74">
        <v>8</v>
      </c>
      <c r="AF133" s="74" t="s">
        <v>220</v>
      </c>
      <c r="AG133" s="26" t="s">
        <v>1</v>
      </c>
      <c r="AH133" s="29" t="s">
        <v>125</v>
      </c>
      <c r="AI133" s="29" t="str">
        <f t="shared" si="23"/>
        <v>8暖房その他導入予定設備</v>
      </c>
      <c r="AJ133" s="33">
        <f>導入予定設備!M39</f>
        <v>0.69299999999999995</v>
      </c>
      <c r="AK133" s="17">
        <v>0.9</v>
      </c>
      <c r="AL133" s="17">
        <v>1</v>
      </c>
      <c r="AM133" s="29"/>
      <c r="AN133" s="29"/>
      <c r="AO133" s="17">
        <v>1</v>
      </c>
      <c r="AP133" s="17">
        <f t="shared" si="40"/>
        <v>1</v>
      </c>
    </row>
    <row r="134" spans="31:42">
      <c r="AE134" s="74">
        <v>8</v>
      </c>
      <c r="AF134" s="74" t="s">
        <v>220</v>
      </c>
      <c r="AG134" s="26" t="s">
        <v>0</v>
      </c>
      <c r="AH134" s="29" t="s">
        <v>122</v>
      </c>
      <c r="AI134" s="29" t="str">
        <f t="shared" si="23"/>
        <v>8冷房その他既存設備</v>
      </c>
      <c r="AJ134" s="33">
        <f>既存設備!M39</f>
        <v>0.69299999999999995</v>
      </c>
      <c r="AK134" s="17">
        <v>0.93</v>
      </c>
      <c r="AL134" s="17">
        <v>1.03</v>
      </c>
      <c r="AM134" s="29">
        <v>-0.06</v>
      </c>
      <c r="AN134" s="29">
        <v>1.06</v>
      </c>
      <c r="AO134" s="16">
        <f t="shared" ref="AO134:AO135" si="41">ROUNDDOWN(AM134*AJ134+AN134,2)</f>
        <v>1.01</v>
      </c>
      <c r="AP134" s="17">
        <f t="shared" ref="AP134:AP137" si="42">IF(AJ134&gt;=0.5,AO134,IF(AJ134&gt;=0.3,AL134,AK134))</f>
        <v>1.01</v>
      </c>
    </row>
    <row r="135" spans="31:42">
      <c r="AE135" s="74">
        <v>8</v>
      </c>
      <c r="AF135" s="74" t="s">
        <v>220</v>
      </c>
      <c r="AG135" s="26" t="s">
        <v>0</v>
      </c>
      <c r="AH135" s="29" t="s">
        <v>125</v>
      </c>
      <c r="AI135" s="29" t="str">
        <f t="shared" si="23"/>
        <v>8冷房その他導入予定設備</v>
      </c>
      <c r="AJ135" s="33">
        <f>導入予定設備!M39</f>
        <v>0.69299999999999995</v>
      </c>
      <c r="AK135" s="17">
        <v>0.96</v>
      </c>
      <c r="AL135" s="17">
        <v>1.07</v>
      </c>
      <c r="AM135" s="29">
        <v>-0.14000000000000001</v>
      </c>
      <c r="AN135" s="29">
        <v>1.1399999999999999</v>
      </c>
      <c r="AO135" s="16">
        <f t="shared" si="41"/>
        <v>1.04</v>
      </c>
      <c r="AP135" s="17">
        <f t="shared" si="42"/>
        <v>1.04</v>
      </c>
    </row>
    <row r="136" spans="31:42">
      <c r="AE136" s="74">
        <v>9</v>
      </c>
      <c r="AF136" s="74" t="s">
        <v>220</v>
      </c>
      <c r="AG136" s="26" t="s">
        <v>1</v>
      </c>
      <c r="AH136" s="29" t="s">
        <v>122</v>
      </c>
      <c r="AI136" s="29" t="str">
        <f t="shared" si="23"/>
        <v>9暖房その他既存設備</v>
      </c>
      <c r="AJ136" s="33">
        <f>既存設備!M40</f>
        <v>0.47</v>
      </c>
      <c r="AK136" s="17">
        <v>0.9</v>
      </c>
      <c r="AL136" s="17">
        <v>1</v>
      </c>
      <c r="AM136" s="29"/>
      <c r="AN136" s="29"/>
      <c r="AO136" s="17">
        <v>1</v>
      </c>
      <c r="AP136" s="17">
        <f t="shared" si="42"/>
        <v>1</v>
      </c>
    </row>
    <row r="137" spans="31:42">
      <c r="AE137" s="74">
        <v>9</v>
      </c>
      <c r="AF137" s="74" t="s">
        <v>220</v>
      </c>
      <c r="AG137" s="26" t="s">
        <v>1</v>
      </c>
      <c r="AH137" s="29" t="s">
        <v>125</v>
      </c>
      <c r="AI137" s="29" t="str">
        <f t="shared" si="23"/>
        <v>9暖房その他導入予定設備</v>
      </c>
      <c r="AJ137" s="33">
        <f>導入予定設備!M40</f>
        <v>0.47</v>
      </c>
      <c r="AK137" s="17">
        <v>0.9</v>
      </c>
      <c r="AL137" s="17">
        <v>1</v>
      </c>
      <c r="AM137" s="29"/>
      <c r="AN137" s="29"/>
      <c r="AO137" s="17">
        <v>1</v>
      </c>
      <c r="AP137" s="17">
        <f t="shared" si="42"/>
        <v>1</v>
      </c>
    </row>
    <row r="138" spans="31:42">
      <c r="AE138" s="74">
        <v>9</v>
      </c>
      <c r="AF138" s="74" t="s">
        <v>220</v>
      </c>
      <c r="AG138" s="26" t="s">
        <v>0</v>
      </c>
      <c r="AH138" s="29" t="s">
        <v>122</v>
      </c>
      <c r="AI138" s="29" t="str">
        <f t="shared" si="23"/>
        <v>9冷房その他既存設備</v>
      </c>
      <c r="AJ138" s="33">
        <f>既存設備!M40</f>
        <v>0.47</v>
      </c>
      <c r="AK138" s="17">
        <v>0.93</v>
      </c>
      <c r="AL138" s="17">
        <v>1.03</v>
      </c>
      <c r="AM138" s="29">
        <v>-0.06</v>
      </c>
      <c r="AN138" s="29">
        <v>1.06</v>
      </c>
      <c r="AO138" s="16">
        <f t="shared" ref="AO138:AO139" si="43">ROUNDDOWN(AM138*AJ138+AN138,2)</f>
        <v>1.03</v>
      </c>
      <c r="AP138" s="17">
        <f t="shared" ref="AP138:AP141" si="44">IF(AJ138&gt;=0.5,AO138,IF(AJ138&gt;=0.3,AL138,AK138))</f>
        <v>1.03</v>
      </c>
    </row>
    <row r="139" spans="31:42">
      <c r="AE139" s="74">
        <v>9</v>
      </c>
      <c r="AF139" s="74" t="s">
        <v>220</v>
      </c>
      <c r="AG139" s="26" t="s">
        <v>0</v>
      </c>
      <c r="AH139" s="29" t="s">
        <v>125</v>
      </c>
      <c r="AI139" s="29" t="str">
        <f t="shared" si="23"/>
        <v>9冷房その他導入予定設備</v>
      </c>
      <c r="AJ139" s="33">
        <f>導入予定設備!M40</f>
        <v>0.47</v>
      </c>
      <c r="AK139" s="17">
        <v>0.96</v>
      </c>
      <c r="AL139" s="17">
        <v>1.07</v>
      </c>
      <c r="AM139" s="29">
        <v>-0.14000000000000001</v>
      </c>
      <c r="AN139" s="29">
        <v>1.1399999999999999</v>
      </c>
      <c r="AO139" s="16">
        <f t="shared" si="43"/>
        <v>1.07</v>
      </c>
      <c r="AP139" s="17">
        <f t="shared" si="44"/>
        <v>1.07</v>
      </c>
    </row>
    <row r="140" spans="31:42">
      <c r="AE140" s="74">
        <v>10</v>
      </c>
      <c r="AF140" s="74" t="s">
        <v>220</v>
      </c>
      <c r="AG140" s="26" t="s">
        <v>1</v>
      </c>
      <c r="AH140" s="29" t="s">
        <v>122</v>
      </c>
      <c r="AI140" s="29" t="str">
        <f t="shared" si="23"/>
        <v>10暖房その他既存設備</v>
      </c>
      <c r="AJ140" s="33">
        <f>既存設備!M41</f>
        <v>0.36399999999999999</v>
      </c>
      <c r="AK140" s="17">
        <v>0.9</v>
      </c>
      <c r="AL140" s="17">
        <v>1</v>
      </c>
      <c r="AM140" s="29"/>
      <c r="AN140" s="29"/>
      <c r="AO140" s="17">
        <v>1</v>
      </c>
      <c r="AP140" s="17">
        <f t="shared" si="44"/>
        <v>1</v>
      </c>
    </row>
    <row r="141" spans="31:42">
      <c r="AE141" s="74">
        <v>10</v>
      </c>
      <c r="AF141" s="74" t="s">
        <v>220</v>
      </c>
      <c r="AG141" s="26" t="s">
        <v>1</v>
      </c>
      <c r="AH141" s="29" t="s">
        <v>125</v>
      </c>
      <c r="AI141" s="29" t="str">
        <f t="shared" si="23"/>
        <v>10暖房その他導入予定設備</v>
      </c>
      <c r="AJ141" s="33">
        <f>導入予定設備!M41</f>
        <v>0.36399999999999999</v>
      </c>
      <c r="AK141" s="17">
        <v>0.9</v>
      </c>
      <c r="AL141" s="17">
        <v>1</v>
      </c>
      <c r="AM141" s="29"/>
      <c r="AN141" s="29"/>
      <c r="AO141" s="17">
        <v>1</v>
      </c>
      <c r="AP141" s="17">
        <f t="shared" si="44"/>
        <v>1</v>
      </c>
    </row>
    <row r="142" spans="31:42">
      <c r="AE142" s="74">
        <v>10</v>
      </c>
      <c r="AF142" s="74" t="s">
        <v>220</v>
      </c>
      <c r="AG142" s="26" t="s">
        <v>0</v>
      </c>
      <c r="AH142" s="29" t="s">
        <v>122</v>
      </c>
      <c r="AI142" s="29" t="str">
        <f t="shared" si="23"/>
        <v>10冷房その他既存設備</v>
      </c>
      <c r="AJ142" s="33">
        <f>既存設備!M41</f>
        <v>0.36399999999999999</v>
      </c>
      <c r="AK142" s="17">
        <v>0.93</v>
      </c>
      <c r="AL142" s="17">
        <v>1.03</v>
      </c>
      <c r="AM142" s="29">
        <v>-0.06</v>
      </c>
      <c r="AN142" s="29">
        <v>1.06</v>
      </c>
      <c r="AO142" s="16">
        <f t="shared" ref="AO142:AO143" si="45">ROUNDDOWN(AM142*AJ142+AN142,2)</f>
        <v>1.03</v>
      </c>
      <c r="AP142" s="17">
        <f t="shared" ref="AP142:AP145" si="46">IF(AJ142&gt;=0.5,AO142,IF(AJ142&gt;=0.3,AL142,AK142))</f>
        <v>1.03</v>
      </c>
    </row>
    <row r="143" spans="31:42">
      <c r="AE143" s="74">
        <v>10</v>
      </c>
      <c r="AF143" s="74" t="s">
        <v>220</v>
      </c>
      <c r="AG143" s="26" t="s">
        <v>0</v>
      </c>
      <c r="AH143" s="29" t="s">
        <v>125</v>
      </c>
      <c r="AI143" s="29" t="str">
        <f t="shared" si="23"/>
        <v>10冷房その他導入予定設備</v>
      </c>
      <c r="AJ143" s="33">
        <f>導入予定設備!M41</f>
        <v>0.36399999999999999</v>
      </c>
      <c r="AK143" s="17">
        <v>0.96</v>
      </c>
      <c r="AL143" s="17">
        <v>1.07</v>
      </c>
      <c r="AM143" s="29">
        <v>-0.14000000000000001</v>
      </c>
      <c r="AN143" s="29">
        <v>1.1399999999999999</v>
      </c>
      <c r="AO143" s="16">
        <f t="shared" si="45"/>
        <v>1.08</v>
      </c>
      <c r="AP143" s="17">
        <f t="shared" si="46"/>
        <v>1.07</v>
      </c>
    </row>
    <row r="144" spans="31:42">
      <c r="AE144" s="74">
        <v>11</v>
      </c>
      <c r="AF144" s="74" t="s">
        <v>220</v>
      </c>
      <c r="AG144" s="26" t="s">
        <v>1</v>
      </c>
      <c r="AH144" s="29" t="s">
        <v>122</v>
      </c>
      <c r="AI144" s="29" t="str">
        <f t="shared" si="23"/>
        <v>11暖房その他既存設備</v>
      </c>
      <c r="AJ144" s="33">
        <f>既存設備!M42</f>
        <v>0.154</v>
      </c>
      <c r="AK144" s="17">
        <v>0.9</v>
      </c>
      <c r="AL144" s="17">
        <v>1</v>
      </c>
      <c r="AM144" s="29"/>
      <c r="AN144" s="29"/>
      <c r="AO144" s="17">
        <v>1</v>
      </c>
      <c r="AP144" s="17">
        <f t="shared" si="46"/>
        <v>0.9</v>
      </c>
    </row>
    <row r="145" spans="31:42">
      <c r="AE145" s="74">
        <v>11</v>
      </c>
      <c r="AF145" s="74" t="s">
        <v>220</v>
      </c>
      <c r="AG145" s="26" t="s">
        <v>1</v>
      </c>
      <c r="AH145" s="29" t="s">
        <v>125</v>
      </c>
      <c r="AI145" s="29" t="str">
        <f t="shared" si="23"/>
        <v>11暖房その他導入予定設備</v>
      </c>
      <c r="AJ145" s="33">
        <f>導入予定設備!M42</f>
        <v>0.154</v>
      </c>
      <c r="AK145" s="17">
        <v>0.9</v>
      </c>
      <c r="AL145" s="17">
        <v>1</v>
      </c>
      <c r="AM145" s="29"/>
      <c r="AN145" s="29"/>
      <c r="AO145" s="17">
        <v>1</v>
      </c>
      <c r="AP145" s="17">
        <f t="shared" si="46"/>
        <v>0.9</v>
      </c>
    </row>
    <row r="146" spans="31:42">
      <c r="AE146" s="74">
        <v>11</v>
      </c>
      <c r="AF146" s="74" t="s">
        <v>220</v>
      </c>
      <c r="AG146" s="26" t="s">
        <v>0</v>
      </c>
      <c r="AH146" s="29" t="s">
        <v>122</v>
      </c>
      <c r="AI146" s="29" t="str">
        <f t="shared" si="23"/>
        <v>11冷房その他既存設備</v>
      </c>
      <c r="AJ146" s="33">
        <f>既存設備!M42</f>
        <v>0.154</v>
      </c>
      <c r="AK146" s="17">
        <v>0.93</v>
      </c>
      <c r="AL146" s="17">
        <v>1.03</v>
      </c>
      <c r="AM146" s="29">
        <v>-0.06</v>
      </c>
      <c r="AN146" s="29">
        <v>1.06</v>
      </c>
      <c r="AO146" s="16">
        <f t="shared" ref="AO146:AO147" si="47">ROUNDDOWN(AM146*AJ146+AN146,2)</f>
        <v>1.05</v>
      </c>
      <c r="AP146" s="17">
        <f t="shared" ref="AP146:AP149" si="48">IF(AJ146&gt;=0.5,AO146,IF(AJ146&gt;=0.3,AL146,AK146))</f>
        <v>0.93</v>
      </c>
    </row>
    <row r="147" spans="31:42">
      <c r="AE147" s="74">
        <v>11</v>
      </c>
      <c r="AF147" s="74" t="s">
        <v>220</v>
      </c>
      <c r="AG147" s="26" t="s">
        <v>0</v>
      </c>
      <c r="AH147" s="29" t="s">
        <v>125</v>
      </c>
      <c r="AI147" s="29" t="str">
        <f t="shared" si="23"/>
        <v>11冷房その他導入予定設備</v>
      </c>
      <c r="AJ147" s="33">
        <f>導入予定設備!M42</f>
        <v>0.154</v>
      </c>
      <c r="AK147" s="17">
        <v>0.96</v>
      </c>
      <c r="AL147" s="17">
        <v>1.07</v>
      </c>
      <c r="AM147" s="29">
        <v>-0.14000000000000001</v>
      </c>
      <c r="AN147" s="29">
        <v>1.1399999999999999</v>
      </c>
      <c r="AO147" s="16">
        <f t="shared" si="47"/>
        <v>1.1100000000000001</v>
      </c>
      <c r="AP147" s="17">
        <f t="shared" si="48"/>
        <v>0.96</v>
      </c>
    </row>
    <row r="148" spans="31:42">
      <c r="AE148" s="74">
        <v>12</v>
      </c>
      <c r="AF148" s="74" t="s">
        <v>220</v>
      </c>
      <c r="AG148" s="26" t="s">
        <v>1</v>
      </c>
      <c r="AH148" s="29" t="s">
        <v>122</v>
      </c>
      <c r="AI148" s="29" t="str">
        <f t="shared" si="23"/>
        <v>12暖房その他既存設備</v>
      </c>
      <c r="AJ148" s="33">
        <f>既存設備!M43</f>
        <v>0.371</v>
      </c>
      <c r="AK148" s="17">
        <v>0.9</v>
      </c>
      <c r="AL148" s="17">
        <v>1</v>
      </c>
      <c r="AM148" s="29"/>
      <c r="AN148" s="29"/>
      <c r="AO148" s="17">
        <v>1</v>
      </c>
      <c r="AP148" s="17">
        <f t="shared" si="48"/>
        <v>1</v>
      </c>
    </row>
    <row r="149" spans="31:42">
      <c r="AE149" s="74">
        <v>12</v>
      </c>
      <c r="AF149" s="74" t="s">
        <v>220</v>
      </c>
      <c r="AG149" s="26" t="s">
        <v>1</v>
      </c>
      <c r="AH149" s="29" t="s">
        <v>125</v>
      </c>
      <c r="AI149" s="29" t="str">
        <f t="shared" si="23"/>
        <v>12暖房その他導入予定設備</v>
      </c>
      <c r="AJ149" s="33">
        <f>導入予定設備!M43</f>
        <v>0.371</v>
      </c>
      <c r="AK149" s="17">
        <v>0.9</v>
      </c>
      <c r="AL149" s="17">
        <v>1</v>
      </c>
      <c r="AM149" s="29"/>
      <c r="AN149" s="29"/>
      <c r="AO149" s="17">
        <v>1</v>
      </c>
      <c r="AP149" s="17">
        <f t="shared" si="48"/>
        <v>1</v>
      </c>
    </row>
    <row r="150" spans="31:42">
      <c r="AE150" s="74">
        <v>12</v>
      </c>
      <c r="AF150" s="74" t="s">
        <v>220</v>
      </c>
      <c r="AG150" s="26" t="s">
        <v>0</v>
      </c>
      <c r="AH150" s="29" t="s">
        <v>122</v>
      </c>
      <c r="AI150" s="29" t="str">
        <f t="shared" si="23"/>
        <v>12冷房その他既存設備</v>
      </c>
      <c r="AJ150" s="33">
        <f>既存設備!M43</f>
        <v>0.371</v>
      </c>
      <c r="AK150" s="17">
        <v>0.93</v>
      </c>
      <c r="AL150" s="17">
        <v>1.03</v>
      </c>
      <c r="AM150" s="29">
        <v>-0.06</v>
      </c>
      <c r="AN150" s="29">
        <v>1.06</v>
      </c>
      <c r="AO150" s="16">
        <f t="shared" ref="AO150:AO151" si="49">ROUNDDOWN(AM150*AJ150+AN150,2)</f>
        <v>1.03</v>
      </c>
      <c r="AP150" s="17">
        <f t="shared" ref="AP150:AP151" si="50">IF(AJ150&gt;=0.5,AO150,IF(AJ150&gt;=0.3,AL150,AK150))</f>
        <v>1.03</v>
      </c>
    </row>
    <row r="151" spans="31:42">
      <c r="AE151" s="74">
        <v>12</v>
      </c>
      <c r="AF151" s="74" t="s">
        <v>220</v>
      </c>
      <c r="AG151" s="26" t="s">
        <v>0</v>
      </c>
      <c r="AH151" s="29" t="s">
        <v>125</v>
      </c>
      <c r="AI151" s="29" t="str">
        <f t="shared" si="23"/>
        <v>12冷房その他導入予定設備</v>
      </c>
      <c r="AJ151" s="33">
        <f>導入予定設備!M43</f>
        <v>0.371</v>
      </c>
      <c r="AK151" s="17">
        <v>0.96</v>
      </c>
      <c r="AL151" s="17">
        <v>1.07</v>
      </c>
      <c r="AM151" s="29">
        <v>-0.14000000000000001</v>
      </c>
      <c r="AN151" s="29">
        <v>1.1399999999999999</v>
      </c>
      <c r="AO151" s="16">
        <f t="shared" si="49"/>
        <v>1.08</v>
      </c>
      <c r="AP151" s="17">
        <f t="shared" si="50"/>
        <v>1.07</v>
      </c>
    </row>
  </sheetData>
  <autoFilter ref="AE6:AJ103"/>
  <mergeCells count="5">
    <mergeCell ref="AJ6:AJ7"/>
    <mergeCell ref="AM6:AO6"/>
    <mergeCell ref="AK6:AK7"/>
    <mergeCell ref="AL6:AL7"/>
    <mergeCell ref="AP6:AP7"/>
  </mergeCells>
  <phoneticPr fontId="1"/>
  <pageMargins left="0.31496062992125984" right="0.31496062992125984" top="0" bottom="0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既存設備</vt:lpstr>
      <vt:lpstr>導入予定設備</vt:lpstr>
      <vt:lpstr>&lt;吸収式&gt;マスタ</vt:lpstr>
      <vt:lpstr>'&lt;吸収式&gt;マスタ'!Print_Area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2017-05-18T09:23:42Z</dcterms:created>
  <dcterms:modified xsi:type="dcterms:W3CDTF">2018-03-16T06:46:09Z</dcterms:modified>
</cp:coreProperties>
</file>